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nden Djurs Vand (V052)\ØR2022\"/>
    </mc:Choice>
  </mc:AlternateContent>
  <xr:revisionPtr revIDLastSave="0" documentId="13_ncr:1_{D35DAD52-8A81-4636-A461-DD48CEB66930}" xr6:coauthVersionLast="36" xr6:coauthVersionMax="36" xr10:uidLastSave="{00000000-0000-0000-0000-000000000000}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91029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9" i="3" l="1"/>
  <c r="E9" i="2" l="1"/>
  <c r="E14" i="10" l="1"/>
  <c r="C14" i="10"/>
  <c r="E10" i="10" l="1"/>
  <c r="C10" i="10"/>
  <c r="E29" i="8" l="1"/>
  <c r="E25" i="8" l="1"/>
  <c r="E33" i="8" l="1"/>
  <c r="E35" i="8" s="1"/>
  <c r="E25" i="2"/>
  <c r="E10" i="2"/>
  <c r="E14" i="6"/>
  <c r="E20" i="4" l="1"/>
  <c r="E20" i="5"/>
  <c r="E21" i="3"/>
  <c r="C11" i="12"/>
  <c r="C12" i="12" s="1"/>
  <c r="C13" i="7"/>
  <c r="C14" i="7" s="1"/>
  <c r="E15" i="6" l="1"/>
  <c r="E16" i="6" s="1"/>
  <c r="E28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F11" i="9" l="1"/>
  <c r="C15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5" i="10" l="1"/>
  <c r="E11" i="2" s="1"/>
  <c r="E14" i="2" l="1"/>
  <c r="E15" i="2" s="1"/>
  <c r="E16" i="2" s="1"/>
  <c r="E28" i="2" s="1"/>
  <c r="E11" i="3" l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<sst xmlns="http://schemas.openxmlformats.org/spreadsheetml/2006/main" count="415" uniqueCount="158">
  <si>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</si>
  <si>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</si>
  <si>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</si>
  <si>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</si>
  <si>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</si>
  <si>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</si>
  <si>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</si>
  <si>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</si>
  <si>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</si>
  <si>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</si>
  <si>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</si>
  <si>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</si>
  <si>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</si>
  <si>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</si>
  <si>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</si>
  <si>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</si>
  <si>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</si>
  <si>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</si>
  <si>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</si>
  <si>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</si>
  <si>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</si>
  <si>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</si>
  <si>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</si>
  <si>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</si>
  <si>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</si>
  <si>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</si>
  <si>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</si>
  <si>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</si>
  <si>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</si>
  <si>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</si>
  <si>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</si>
  <si>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</si>
  <si>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</si>
  <si>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</si>
  <si>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</si>
  <si>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</si>
  <si>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</si>
  <si>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</si>
  <si>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</si>
  <si>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</si>
  <si>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</si>
  <si>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</si>
  <si>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</si>
  <si>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</si>
  <si>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</si>
  <si>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</si>
  <si>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</si>
  <si>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</si>
  <si>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</si>
  <si>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</si>
  <si>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</si>
  <si>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</si>
  <si>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</si>
  <si>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</si>
  <si>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</si>
  <si>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</si>
  <si>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</si>
  <si>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</si>
  <si>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</si>
  <si>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</si>
  <si>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</si>
  <si>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</si>
  <si>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</si>
  <si>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</si>
  <si>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</si>
  <si>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</si>
  <si>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</si>
  <si>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</si>
  <si>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</si>
  <si>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</si>
  <si>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</si>
  <si>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</si>
  <si>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</si>
  <si>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</si>
  <si>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</si>
  <si>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</si>
  <si>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</si>
  <si>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</si>
  <si>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</si>
  <si>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</si>
  <si>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</si>
  <si>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</si>
  <si>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</si>
  <si>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</si>
  <si>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</si>
  <si>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</si>
  <si>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</si>
  <si>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</si>
  <si>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</si>
  <si>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</si>
  <si>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</si>
  <si>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</si>
  <si>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</si>
  <si>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</si>
  <si>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</si>
  <si>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</si>
  <si>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</si>
  <si>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</si>
  <si>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</si>
  <si>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</si>
  <si>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</si>
  <si>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</si>
  <si>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</si>
  <si>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</si>
  <si>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</si>
  <si>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</si>
  <si>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</si>
  <si>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</si>
  <si>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</si>
  <si>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</si>
  <si>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</si>
  <si>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</si>
  <si>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</si>
  <si>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</si>
  <si>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</si>
  <si>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</si>
  <si>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</si>
  <si>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</si>
  <si>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</si>
  <si>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</si>
  <si>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</si>
  <si>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</si>
  <si>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</si>
  <si>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</si>
  <si>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</si>
  <si>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</si>
  <si>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</si>
  <si>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</si>
  <si>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</si>
  <si>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</si>
  <si>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</si>
  <si>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</si>
  <si>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</si>
  <si>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</si>
  <si>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</si>
  <si>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</si>
  <si>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</si>
  <si>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</si>
  <si>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</si>
  <si>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</si>
  <si>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</si>
  <si>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</si>
  <si>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</si>
  <si>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</si>
  <si>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</si>
  <si>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</si>
  <si>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</si>
  <si>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</si>
  <si>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</si>
  <si>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</si>
  <si>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</si>
  <si>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</si>
  <si>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Indtægter fra tilbagebetalt skat eller sambeskatningsbidrag som følge af skattesagen</t>
  </si>
  <si>
    <t>Nedsættelse af økonomisk ramme som følge af skattesagen</t>
  </si>
  <si>
    <t>Fane 5: Kontrol med overholdelse af den økonomiske ramme for 2020</t>
  </si>
  <si>
    <t>Fusion med Ny Balle Vandværk</t>
  </si>
  <si>
    <t>Fusion med Skader Vandværk</t>
  </si>
  <si>
    <t>Fusion med Søby Vandværk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</si>
</sst>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0" fillId="0" borderId="0" xfId="0" applyNumberForma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 xr:uid="{00000000-0005-0000-0000-000002000000}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>
      <selection activeCell="D6" sqref="D6:G7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2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2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AFdm5DNxuuPIINe0l3yeaOWjiDccZ1xk9jT58OIdVjPy+QdHVQ1KrvSA3vBg0Mz4M6ZBsamCrxtyZLmmKfU1w==" saltValue="HX97qKp6VunwYBAdoUI1a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 xr:uid="{00000000-0004-0000-0000-000000000000}"/>
    <hyperlink ref="D21:G21" location="'Fane 7.1. Varige tillæg'!A1" display="Varige tillæg" xr:uid="{00000000-0004-0000-0000-000001000000}"/>
    <hyperlink ref="D23:G23" location="'Fane 8. Tilknyttet virksomhed'!A1" display="Tilknyttet virksomhed" xr:uid="{00000000-0004-0000-0000-000002000000}"/>
    <hyperlink ref="D24:G24" location="'Fane 9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18:G18" location="'Fane 4. Ikke-påvirkelige omk.'!A1" display="Ikke-påvirkelige omk." xr:uid="{00000000-0004-0000-0000-000007000000}"/>
    <hyperlink ref="D19:G19" location="'Fane 5. Kontrol af ØR2020'!A1" display="Kontrol af den økonomiske ramme for 2019" xr:uid="{00000000-0004-0000-0000-000008000000}"/>
    <hyperlink ref="D25:G25" location="'Fane 10. Nøgletal'!A1" display="Nøgletal" xr:uid="{00000000-0004-0000-0000-000009000000}"/>
    <hyperlink ref="D17:G17" location="'Fane 3. Omkostninger i ØR2021'!A1" display="Omkostninger i ØR2020" xr:uid="{00000000-0004-0000-0000-00000A000000}"/>
    <hyperlink ref="D22:G22" location="'Fane 7.2. Engangstillæg'!A1" display="Engangstillæg" xr:uid="{00000000-0004-0000-0000-00000B000000}"/>
    <hyperlink ref="D20:G20" location="'Fane 6. Anlægsprojekter'!A1" display="Anlægsprojekter" xr:uid="{00000000-0004-0000-0000-00000C000000}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G51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Anlægsprojekter'!F10</f>
        <v>0</v>
      </c>
      <c r="D10" s="12" t="s">
        <v>3</v>
      </c>
      <c r="E10" s="8">
        <f>SUM('Fane 6. Anlægsprojekter'!E10,'Fane 6. Anlægsprojekter'!G10)</f>
        <v>0</v>
      </c>
      <c r="F10" s="12" t="s">
        <v>3</v>
      </c>
      <c r="G10" s="1"/>
    </row>
    <row r="11" spans="1:7" x14ac:dyDescent="0.25">
      <c r="A11" s="1"/>
      <c r="B11" s="20" t="s">
        <v>155</v>
      </c>
      <c r="C11" s="19">
        <v>68389</v>
      </c>
      <c r="D11" s="12" t="s">
        <v>3</v>
      </c>
      <c r="E11" s="8">
        <v>5017</v>
      </c>
      <c r="F11" s="12" t="s">
        <v>3</v>
      </c>
      <c r="G11" s="1"/>
    </row>
    <row r="12" spans="1:7" x14ac:dyDescent="0.25">
      <c r="A12" s="1"/>
      <c r="B12" s="20" t="s">
        <v>157</v>
      </c>
      <c r="C12" s="19">
        <v>293606</v>
      </c>
      <c r="D12" s="12" t="s">
        <v>3</v>
      </c>
      <c r="E12" s="8">
        <v>169851</v>
      </c>
      <c r="F12" s="12" t="s">
        <v>3</v>
      </c>
      <c r="G12" s="1"/>
    </row>
    <row r="13" spans="1:7" x14ac:dyDescent="0.25">
      <c r="A13" s="1"/>
      <c r="B13" s="20" t="s">
        <v>156</v>
      </c>
      <c r="C13" s="19">
        <v>105831</v>
      </c>
      <c r="D13" s="12" t="s">
        <v>3</v>
      </c>
      <c r="E13" s="8">
        <v>56222</v>
      </c>
      <c r="F13" s="12" t="s">
        <v>3</v>
      </c>
      <c r="G13" s="1"/>
    </row>
    <row r="14" spans="1:7" x14ac:dyDescent="0.25">
      <c r="A14" s="1"/>
      <c r="B14" s="56" t="s">
        <v>69</v>
      </c>
      <c r="C14" s="10">
        <f>SUM(C10:C13)</f>
        <v>467826</v>
      </c>
      <c r="D14" s="11" t="s">
        <v>3</v>
      </c>
      <c r="E14" s="10">
        <f>SUM(E10:E13)</f>
        <v>231090</v>
      </c>
      <c r="F14" s="11" t="s">
        <v>3</v>
      </c>
      <c r="G14" s="1"/>
    </row>
    <row r="15" spans="1:7" x14ac:dyDescent="0.25">
      <c r="A15" s="1"/>
      <c r="B15" s="56" t="s">
        <v>110</v>
      </c>
      <c r="C15" s="10">
        <f>C14*(1+'Fane 10. Nøgletal'!C14)</f>
        <v>469369.82580000005</v>
      </c>
      <c r="D15" s="11" t="s">
        <v>3</v>
      </c>
      <c r="E15" s="10">
        <f>E14*(1+'Fane 10. Nøgletal'!C14)</f>
        <v>231852.59700000001</v>
      </c>
      <c r="F15" s="11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</sheetData>
  <sheetProtection algorithmName="SHA-512" hashValue="Wk1+NrByJYP1WGtpjn2qeQ5Bpa1dpcjUdWCTqBGwLhZ0mNHnh5F6EHa3rZ7Zf6o1rOONCgg2kTQ2QmlKb+psQQ==" saltValue="5SvpbCxKKjw/LiPCvDXqo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OvgVz2onIbjviutvCAcu0UYx2zcsqGahlRHs7HAORDNohGrbyBPk3uqh4iIJifeArL8hsbQnNPxw8M1lpzPoA==" saltValue="Zk8SPq/LHBp3ZDVcJpjWY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XVnmUqepI2os5W8msreCRIe1hzwC8/lzUPyRrHWLNZd1iwdmeec58f4nIg3vyJ4JB4mmuBcdvAY7xEMiDIJbQ==" saltValue="YuoufDwmoaV6UddWVkC56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CKSdL7a1SCvXGmZoWmeFE/knND6NGk8xsAnGOZupn5vPdLDRbNWynNKnSEZTbzFAYC6gHdpdyozkJ77OmyxvQ==" saltValue="NDrHhSwW/UZY3aCwBthJG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6" t="s">
        <v>93</v>
      </c>
      <c r="C3" s="76"/>
      <c r="D3" s="1"/>
    </row>
    <row r="4" spans="1:4" ht="25.5" customHeight="1" x14ac:dyDescent="0.25">
      <c r="A4" s="1"/>
      <c r="B4" s="76"/>
      <c r="C4" s="7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8ux8UpqhbY620sGTh7e6iLIQVOuPwI/3cLwGcCzDx2xNSHUVFCiWYjSKcf4CbAbJ56ynKwrCzIljQiLjT43tQ==" saltValue="pjgFoBCfJV0e8QLPt4z1D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G50"/>
  <sheetViews>
    <sheetView showGridLines="0" view="pageLayout" zoomScaleNormal="100" workbookViewId="0">
      <selection activeCell="B3" sqref="B3:F4"/>
    </sheetView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7219179.5453231446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tillæg'!C15+'Fane 7.1. Varige tillæg'!E15</f>
        <v>701222.42280000006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90388.024448182361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-136183.42987371256</v>
      </c>
      <c r="F15" s="39" t="s">
        <v>3</v>
      </c>
      <c r="G15" s="1"/>
    </row>
    <row r="16" spans="1:7" ht="15" customHeight="1" x14ac:dyDescent="0.25">
      <c r="A16" s="1"/>
      <c r="B16" s="53" t="s">
        <v>20</v>
      </c>
      <c r="C16" s="41"/>
      <c r="D16" s="41"/>
      <c r="E16" s="9">
        <f>SUM(E9,E11:E15)</f>
        <v>7874606.5626976145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omk.'!C14</f>
        <v>2552634.3576243003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652194.59063007555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f>'Fane 5. Kontrol af ØR2020'!E29</f>
        <v>-68968.010125982575</v>
      </c>
      <c r="F25" s="43" t="s">
        <v>3</v>
      </c>
      <c r="G25" s="1"/>
    </row>
    <row r="26" spans="1:7" x14ac:dyDescent="0.25">
      <c r="A26" s="1"/>
      <c r="B26" s="42" t="s">
        <v>148</v>
      </c>
      <c r="C26" s="42"/>
      <c r="D26" s="42"/>
      <c r="E26" s="42"/>
      <c r="F26" s="42"/>
      <c r="G26" s="1"/>
    </row>
    <row r="27" spans="1:7" x14ac:dyDescent="0.2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11010467.500826009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VaNKiK7Eni5zvw3aaOo8pOsUt/k8x6GFst7xTUMsx8eUdHViYimdNWFw+T8KRSemRv9ztdXPle7Kfki5WXfvdQ==" saltValue="F5SFFvr9o0p+jr5FW2LLZ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G48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9" t="s">
        <v>66</v>
      </c>
      <c r="C9" s="39"/>
      <c r="D9" s="39"/>
      <c r="E9" s="7">
        <f>'Fane 2.1. Økonomisk ramme 2022'!E16</f>
        <v>7874606.5626976145</v>
      </c>
      <c r="F9" s="39" t="s">
        <v>3</v>
      </c>
      <c r="G9" s="1"/>
    </row>
    <row r="10" spans="1:7" ht="15" customHeight="1" x14ac:dyDescent="0.2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40" t="s">
        <v>18</v>
      </c>
      <c r="C11" s="39"/>
      <c r="D11" s="39"/>
      <c r="E11" s="8">
        <f>SUM(E9:E10)*'Fane 10. Nøgletal'!C14</f>
        <v>25986.201656902129</v>
      </c>
      <c r="F11" s="39" t="s">
        <v>3</v>
      </c>
      <c r="G11" s="1"/>
    </row>
    <row r="12" spans="1:7" ht="15" customHeight="1" x14ac:dyDescent="0.25">
      <c r="A12" s="1"/>
      <c r="B12" s="40" t="s">
        <v>54</v>
      </c>
      <c r="C12" s="39"/>
      <c r="D12" s="39"/>
      <c r="E12" s="8">
        <f>-SUM(E9:E11)*'Fane 10. Nøgletal'!C19</f>
        <v>-134310.07699402681</v>
      </c>
      <c r="F12" s="39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7766282.6873604897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omk.'!C14*(1+'Fane 10. Nøgletal'!C14)</f>
        <v>2561058.0510044605</v>
      </c>
      <c r="F15" s="43" t="s">
        <v>3</v>
      </c>
      <c r="G15" s="1"/>
    </row>
    <row r="16" spans="1:7" ht="15" customHeight="1" x14ac:dyDescent="0.2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85</v>
      </c>
      <c r="C20" s="42"/>
      <c r="D20" s="42"/>
      <c r="E20" s="42"/>
      <c r="F20" s="42"/>
      <c r="G20" s="1"/>
    </row>
    <row r="21" spans="1:7" x14ac:dyDescent="0.25">
      <c r="A21" s="1"/>
      <c r="B21" s="43" t="s">
        <v>150</v>
      </c>
      <c r="C21" s="43"/>
      <c r="D21" s="43"/>
      <c r="E21" s="9">
        <f>'Fane 5. Kontrol af ØR2020'!E35</f>
        <v>-89384.00888949167</v>
      </c>
      <c r="F21" s="43" t="s">
        <v>3</v>
      </c>
      <c r="G21" s="1"/>
    </row>
    <row r="22" spans="1:7" x14ac:dyDescent="0.25">
      <c r="A22" s="1"/>
      <c r="B22" s="42" t="s">
        <v>47</v>
      </c>
      <c r="C22" s="42"/>
      <c r="D22" s="42"/>
      <c r="E22" s="10">
        <f>SUM(E13,E15,E19,E21)</f>
        <v>10237956.729475457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2gxePIAKc3YfwMwcl6Wcokbvjazd+QH2/0uqbjFRRxjgUq/Iadzuqk7t7bgj18rWcTYpl9pJV5v/3SkhxTWHbQ==" saltValue="2NifOizGWpZxpIXrsC8Rh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G51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2023'!E13</f>
        <v>7766282.6873604897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25628.732868289615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-132462.49414388926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7659448.92608489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omk.'!C14*(1+'Fane 10. Nøgletal'!C14)^2</f>
        <v>2569509.5425727754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-89384.00888949167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10139574.459768172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ugaMv/FzpL2ApHHl+9RWi86ApxBzq+NDXvEFXDl3PgdtVpbwLn00tZdwKjWPLnIrLfDG4WhgN8RUNmfTTbJxig==" saltValue="JLv0Qh3ZRWhyTc0GVtGZk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G51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7659448.92608489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25276.181456080136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-130640.3268281965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7554084.7807127731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omk.'!C14*(1+'Fane 10. Nøgletal'!C14)^3</f>
        <v>2577988.9240632658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-89384.00888949167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10042689.695886549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K2NK971F26KhQefGVjyJG96FQzsZMdtzG16LvtG1Np1bofRL8DwK4dqsjdcpMZ66mYUIeATfcJEe9LZQyX/Fuw==" saltValue="+6Ghb4ziIrcIDK8k5hieV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I56"/>
  <sheetViews>
    <sheetView showGridLines="0" view="pageLayout" zoomScaleNormal="100" workbookViewId="0">
      <selection activeCell="M32" sqref="M32"/>
    </sheetView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76" t="s">
        <v>105</v>
      </c>
      <c r="C3" s="76"/>
      <c r="D3" s="76"/>
      <c r="E3" s="76"/>
      <c r="F3" s="76"/>
      <c r="G3" s="1"/>
    </row>
    <row r="4" spans="1:9" ht="29.25" customHeight="1" x14ac:dyDescent="0.25">
      <c r="A4" s="1"/>
      <c r="B4" s="76"/>
      <c r="C4" s="76"/>
      <c r="D4" s="76"/>
      <c r="E4" s="76"/>
      <c r="F4" s="76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42" t="s">
        <v>126</v>
      </c>
      <c r="C8" s="42"/>
      <c r="D8" s="42"/>
      <c r="E8" s="42"/>
      <c r="F8" s="42"/>
      <c r="G8" s="1"/>
    </row>
    <row r="9" spans="1:9" x14ac:dyDescent="0.25">
      <c r="A9" s="1"/>
      <c r="B9" s="77" t="s">
        <v>23</v>
      </c>
      <c r="C9" s="77"/>
      <c r="D9" s="77"/>
      <c r="E9" s="7">
        <v>7122354.7053703032</v>
      </c>
      <c r="F9" s="39" t="s">
        <v>3</v>
      </c>
      <c r="G9" s="1"/>
    </row>
    <row r="10" spans="1:9" x14ac:dyDescent="0.25">
      <c r="A10" s="1"/>
      <c r="B10" s="78" t="s">
        <v>128</v>
      </c>
      <c r="C10" s="78"/>
      <c r="D10" s="78"/>
      <c r="E10" s="7">
        <v>133156.08468295439</v>
      </c>
      <c r="F10" s="39" t="s">
        <v>3</v>
      </c>
      <c r="G10" s="1"/>
      <c r="I10" s="58"/>
    </row>
    <row r="11" spans="1:9" x14ac:dyDescent="0.25">
      <c r="A11" s="1"/>
      <c r="B11" s="78" t="s">
        <v>60</v>
      </c>
      <c r="C11" s="78"/>
      <c r="D11" s="78"/>
      <c r="E11" s="7">
        <v>0</v>
      </c>
      <c r="F11" s="39" t="s">
        <v>3</v>
      </c>
      <c r="G11" s="1"/>
    </row>
    <row r="12" spans="1:9" x14ac:dyDescent="0.25">
      <c r="A12" s="1"/>
      <c r="B12" s="78" t="s">
        <v>65</v>
      </c>
      <c r="C12" s="78"/>
      <c r="D12" s="78"/>
      <c r="E12" s="7">
        <v>0</v>
      </c>
      <c r="F12" s="39" t="s">
        <v>3</v>
      </c>
      <c r="G12" s="1"/>
    </row>
    <row r="13" spans="1:9" x14ac:dyDescent="0.25">
      <c r="A13" s="1"/>
      <c r="B13" s="78" t="s">
        <v>61</v>
      </c>
      <c r="C13" s="78"/>
      <c r="D13" s="78"/>
      <c r="E13" s="8">
        <v>0</v>
      </c>
      <c r="F13" s="39" t="s">
        <v>3</v>
      </c>
      <c r="G13" s="1"/>
    </row>
    <row r="14" spans="1:9" x14ac:dyDescent="0.25">
      <c r="A14" s="1"/>
      <c r="B14" s="78" t="s">
        <v>18</v>
      </c>
      <c r="C14" s="78"/>
      <c r="D14" s="78"/>
      <c r="E14" s="8">
        <f>SUM(E9:E13)*'Fane 10. Nøgletal'!C13</f>
        <v>88517.231638649755</v>
      </c>
      <c r="F14" s="39" t="s">
        <v>3</v>
      </c>
      <c r="G14" s="1"/>
    </row>
    <row r="15" spans="1:9" x14ac:dyDescent="0.25">
      <c r="A15" s="1"/>
      <c r="B15" s="78" t="s">
        <v>54</v>
      </c>
      <c r="C15" s="78"/>
      <c r="D15" s="78"/>
      <c r="E15" s="8">
        <f>-SUM(E9:E14)*'Fane 10. Nøgletal'!C19</f>
        <v>-124848.47636876244</v>
      </c>
      <c r="F15" s="39" t="s">
        <v>3</v>
      </c>
      <c r="G15" s="1"/>
    </row>
    <row r="16" spans="1:9" x14ac:dyDescent="0.25">
      <c r="A16" s="1"/>
      <c r="B16" s="80" t="s">
        <v>20</v>
      </c>
      <c r="C16" s="80"/>
      <c r="D16" s="80"/>
      <c r="E16" s="9">
        <f>SUM(E9:E15)</f>
        <v>7219179.5453231446</v>
      </c>
      <c r="F16" s="43" t="s">
        <v>3</v>
      </c>
      <c r="G16" s="1"/>
    </row>
    <row r="17" spans="1:7" x14ac:dyDescent="0.25">
      <c r="A17" s="1"/>
      <c r="B17" s="81" t="s">
        <v>12</v>
      </c>
      <c r="C17" s="81"/>
      <c r="D17" s="81"/>
      <c r="E17" s="42"/>
      <c r="F17" s="42"/>
      <c r="G17" s="1"/>
    </row>
    <row r="18" spans="1:7" x14ac:dyDescent="0.25">
      <c r="A18" s="1"/>
      <c r="B18" s="82" t="s">
        <v>12</v>
      </c>
      <c r="C18" s="82"/>
      <c r="D18" s="82"/>
      <c r="E18" s="9">
        <v>2424991.3302610801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3" t="s">
        <v>39</v>
      </c>
      <c r="C20" s="84"/>
      <c r="D20" s="85"/>
      <c r="E20" s="37">
        <v>0</v>
      </c>
      <c r="F20" s="32" t="s">
        <v>3</v>
      </c>
      <c r="G20" s="1"/>
    </row>
    <row r="21" spans="1:7" x14ac:dyDescent="0.25">
      <c r="A21" s="1"/>
      <c r="B21" s="83" t="s">
        <v>40</v>
      </c>
      <c r="C21" s="84"/>
      <c r="D21" s="85"/>
      <c r="E21" s="37">
        <v>0</v>
      </c>
      <c r="F21" s="32" t="s">
        <v>3</v>
      </c>
      <c r="G21" s="1"/>
    </row>
    <row r="22" spans="1:7" x14ac:dyDescent="0.2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652194.59063007555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v>-68968.010125982575</v>
      </c>
      <c r="F25" s="43" t="s">
        <v>3</v>
      </c>
      <c r="G25" s="1"/>
    </row>
    <row r="26" spans="1:7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53" t="s">
        <v>153</v>
      </c>
      <c r="C27" s="41"/>
      <c r="D27" s="41"/>
      <c r="E27" s="9">
        <v>-13967</v>
      </c>
      <c r="F27" s="43" t="s">
        <v>3</v>
      </c>
      <c r="G27" s="1"/>
    </row>
    <row r="28" spans="1:7" ht="15" customHeight="1" x14ac:dyDescent="0.25">
      <c r="A28" s="1"/>
      <c r="B28" s="42" t="s">
        <v>25</v>
      </c>
      <c r="C28" s="42"/>
      <c r="D28" s="42"/>
      <c r="E28" s="10">
        <f>E16+E18+E22+E24+E25+E27</f>
        <v>10213430.456088316</v>
      </c>
      <c r="F28" s="11" t="s">
        <v>3</v>
      </c>
      <c r="G28" s="1"/>
    </row>
    <row r="29" spans="1:7" ht="27" customHeight="1" x14ac:dyDescent="0.25">
      <c r="A29" s="1"/>
      <c r="B29" s="79" t="s">
        <v>120</v>
      </c>
      <c r="C29" s="79"/>
      <c r="D29" s="79"/>
      <c r="E29" s="79"/>
      <c r="F29" s="7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B56" s="1"/>
      <c r="C56" s="1"/>
      <c r="D56" s="1"/>
      <c r="E56" s="1"/>
      <c r="F56" s="1"/>
    </row>
  </sheetData>
  <sheetProtection algorithmName="SHA-512" hashValue="XetfSm8KuOOq2tjzF91cIwtWEy30hScNp9mFW4tGYeh7s9hQOO9ThtTK5dPEbf0vhRR802hQzRjziz8cdZ0THw==" saltValue="j+g942/qL2KItznF2i8ls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9:F29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5"/>
  <dimension ref="A1:F50"/>
  <sheetViews>
    <sheetView showGridLines="0" view="pageLayout" zoomScaleNormal="100" workbookViewId="0">
      <selection activeCell="C14" sqref="C14"/>
    </sheetView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x14ac:dyDescent="0.25">
      <c r="A10" s="1"/>
      <c r="B10" s="28" t="s">
        <v>131</v>
      </c>
      <c r="C10" s="8">
        <v>2519387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7890</v>
      </c>
      <c r="D11" s="12" t="s">
        <v>3</v>
      </c>
      <c r="E11" s="1"/>
      <c r="F11" s="1"/>
    </row>
    <row r="12" spans="1:6" x14ac:dyDescent="0.25">
      <c r="A12" s="1"/>
      <c r="B12" s="28" t="s">
        <v>133</v>
      </c>
      <c r="C12" s="8">
        <v>8593</v>
      </c>
      <c r="D12" s="12" t="s">
        <v>3</v>
      </c>
      <c r="E12" s="1"/>
      <c r="F12" s="1"/>
    </row>
    <row r="13" spans="1:6" x14ac:dyDescent="0.25">
      <c r="A13" s="1"/>
      <c r="B13" s="56" t="s">
        <v>108</v>
      </c>
      <c r="C13" s="10">
        <f>SUM(C10:C12)</f>
        <v>2535870</v>
      </c>
      <c r="D13" s="11" t="s">
        <v>3</v>
      </c>
      <c r="E13" s="1"/>
      <c r="F13" s="1"/>
    </row>
    <row r="14" spans="1:6" x14ac:dyDescent="0.25">
      <c r="A14" s="1"/>
      <c r="B14" s="56" t="s">
        <v>109</v>
      </c>
      <c r="C14" s="10">
        <f>C13*(1+'Fane 10. Nøgletal'!C14)^2</f>
        <v>2552634.3576243003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xZWGS9IKkI4RAndyKwbxQ/5jeTqGQbvwjzfSp5gZESg4DesmMaO3cqQhaLWHXSzCFBe1dbp0zBga3s9B7sTlQ==" saltValue="FntT1bRffdWIMRR52qzXt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G45"/>
  <sheetViews>
    <sheetView showGridLines="0" view="pageLayout" topLeftCell="A7" zoomScaleNormal="100" workbookViewId="0">
      <selection activeCell="B30" sqref="B30:F30"/>
    </sheetView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154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135</v>
      </c>
      <c r="C8" s="90"/>
      <c r="D8" s="90"/>
      <c r="E8" s="90"/>
      <c r="F8" s="91"/>
      <c r="G8" s="1"/>
    </row>
    <row r="9" spans="1:7" x14ac:dyDescent="0.25">
      <c r="A9" s="1"/>
      <c r="B9" s="92" t="s">
        <v>136</v>
      </c>
      <c r="C9" s="93"/>
      <c r="D9" s="94"/>
      <c r="E9" s="8">
        <v>1834565.7193014137</v>
      </c>
      <c r="F9" s="12" t="s">
        <v>3</v>
      </c>
      <c r="G9" s="1"/>
    </row>
    <row r="10" spans="1:7" x14ac:dyDescent="0.25">
      <c r="A10" s="1"/>
      <c r="B10" s="92" t="s">
        <v>137</v>
      </c>
      <c r="C10" s="93"/>
      <c r="D10" s="94"/>
      <c r="E10" s="8">
        <v>-1228980.7395533789</v>
      </c>
      <c r="F10" s="12" t="s">
        <v>3</v>
      </c>
      <c r="G10" s="1"/>
    </row>
    <row r="11" spans="1:7" x14ac:dyDescent="0.25">
      <c r="A11" s="1"/>
      <c r="B11" s="92" t="s">
        <v>138</v>
      </c>
      <c r="C11" s="93"/>
      <c r="D11" s="94"/>
      <c r="E11" s="8">
        <v>-743521.36651201919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5" t="s">
        <v>139</v>
      </c>
      <c r="C13" s="96"/>
      <c r="D13" s="96"/>
      <c r="E13" s="96"/>
      <c r="F13" s="97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140</v>
      </c>
      <c r="C15" s="90"/>
      <c r="D15" s="90"/>
      <c r="E15" s="90"/>
      <c r="F15" s="91"/>
      <c r="G15" s="1"/>
    </row>
    <row r="16" spans="1:7" x14ac:dyDescent="0.25">
      <c r="A16" s="1"/>
      <c r="B16" s="92" t="s">
        <v>141</v>
      </c>
      <c r="C16" s="93"/>
      <c r="D16" s="94"/>
      <c r="E16" s="8">
        <v>-68968.010125982575</v>
      </c>
      <c r="F16" s="12" t="s">
        <v>3</v>
      </c>
      <c r="G16" s="1"/>
    </row>
    <row r="17" spans="1:7" x14ac:dyDescent="0.25">
      <c r="A17" s="1"/>
      <c r="B17" s="92" t="s">
        <v>142</v>
      </c>
      <c r="C17" s="93"/>
      <c r="D17" s="94"/>
      <c r="E17" s="8">
        <v>-68968.010125982575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5" t="s">
        <v>143</v>
      </c>
      <c r="C19" s="96"/>
      <c r="D19" s="96"/>
      <c r="E19" s="96"/>
      <c r="F19" s="9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0" t="s">
        <v>123</v>
      </c>
      <c r="C22" s="51"/>
      <c r="D22" s="52"/>
      <c r="E22" s="8">
        <v>9127596.9644420333</v>
      </c>
      <c r="F22" s="12" t="s">
        <v>3</v>
      </c>
      <c r="G22" s="1"/>
    </row>
    <row r="23" spans="1:7" x14ac:dyDescent="0.25">
      <c r="A23" s="1"/>
      <c r="B23" s="50" t="s">
        <v>124</v>
      </c>
      <c r="C23" s="51"/>
      <c r="D23" s="52"/>
      <c r="E23" s="8">
        <v>9485133</v>
      </c>
      <c r="F23" s="12" t="s">
        <v>3</v>
      </c>
      <c r="G23" s="1"/>
    </row>
    <row r="24" spans="1:7" x14ac:dyDescent="0.2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25">
      <c r="A25" s="1"/>
      <c r="B25" s="44" t="s">
        <v>125</v>
      </c>
      <c r="C25" s="45"/>
      <c r="D25" s="46"/>
      <c r="E25" s="34">
        <f>E22-(E23-E24)</f>
        <v>-357536.03555796668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144</v>
      </c>
      <c r="C28" s="90"/>
      <c r="D28" s="90"/>
      <c r="E28" s="90"/>
      <c r="F28" s="91"/>
      <c r="G28" s="1"/>
    </row>
    <row r="29" spans="1:7" x14ac:dyDescent="0.25">
      <c r="A29" s="1"/>
      <c r="B29" s="86" t="s">
        <v>145</v>
      </c>
      <c r="C29" s="87"/>
      <c r="D29" s="88"/>
      <c r="E29" s="9">
        <f>E17</f>
        <v>-68968.010125982575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146</v>
      </c>
      <c r="C32" s="90"/>
      <c r="D32" s="90"/>
      <c r="E32" s="90"/>
      <c r="F32" s="91"/>
      <c r="G32" s="1"/>
    </row>
    <row r="33" spans="1:7" x14ac:dyDescent="0.25">
      <c r="A33" s="1"/>
      <c r="B33" s="102" t="s">
        <v>85</v>
      </c>
      <c r="C33" s="103"/>
      <c r="D33" s="104"/>
      <c r="E33" s="8">
        <f>IF(AND(SUM(E9:E11)&gt;0,E25&lt;0,ABS(SUM(E9:E11))&lt;ABS(E25)),(SUM(E9:E11)-ABS(E25)),IF(AND(SUM(E9:E11)&lt;0,E25&lt;0),E25,0))</f>
        <v>-357536.03555796668</v>
      </c>
      <c r="F33" s="12" t="s">
        <v>3</v>
      </c>
      <c r="G33" s="1"/>
    </row>
    <row r="34" spans="1:7" x14ac:dyDescent="0.25">
      <c r="A34" s="1"/>
      <c r="B34" s="102" t="s">
        <v>55</v>
      </c>
      <c r="C34" s="103"/>
      <c r="D34" s="104"/>
      <c r="E34" s="8">
        <v>4</v>
      </c>
      <c r="F34" s="12" t="s">
        <v>19</v>
      </c>
      <c r="G34" s="1"/>
    </row>
    <row r="35" spans="1:7" x14ac:dyDescent="0.25">
      <c r="A35" s="1"/>
      <c r="B35" s="101" t="s">
        <v>147</v>
      </c>
      <c r="C35" s="101"/>
      <c r="D35" s="101"/>
      <c r="E35" s="9">
        <f>E33/E34</f>
        <v>-89384.00888949167</v>
      </c>
      <c r="F35" s="15" t="s">
        <v>3</v>
      </c>
      <c r="G35" s="1"/>
    </row>
    <row r="36" spans="1:7" x14ac:dyDescent="0.25">
      <c r="A36" s="1"/>
      <c r="B36" s="98"/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pvXZL/+kB5PuqGmTquWruxKWXj5LHYq7exMEoMdAyRXSR58z1j+5wsWe1L6r4B2w560OtgGB/T2r9B+pdG8cA==" saltValue="9pM7tXLnzmBg4wRCpEtGP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oYhmxVM25bNRt/ZP+9QrWpwKk/moTIthXQUM317fI/j0f+necJ5cgRORnQG43NiU8y3GxYuoMkvP5kjp1bTog==" saltValue="n4ELrsxMqDkdYIKgcDikX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Mads Frandsen</cp:lastModifiedBy>
  <cp:lastPrinted>2016-06-14T12:57:30Z</cp:lastPrinted>
  <dcterms:created xsi:type="dcterms:W3CDTF">2016-06-02T08:51:18Z</dcterms:created>
  <dcterms:modified xsi:type="dcterms:W3CDTF">2023-09-26T08:28:41Z</dcterms:modified>
</cp:coreProperties>
</file>