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Energi Viborg Vand AS (S014)\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workbook>
</file>

<file path=xl/calcChain.xml><?xml version="1.0" encoding="utf-8"?>
<calcChain xmlns="http://schemas.openxmlformats.org/spreadsheetml/2006/main">
  <c r="E10" i="37" l="1"/>
  <c r="E14" i="37" s="1"/>
  <c r="E15" i="37" s="1"/>
  <c r="C15" i="37"/>
  <c r="C14" i="37"/>
  <c r="E13" i="37" l="1"/>
  <c r="E11" i="37"/>
  <c r="C16" i="15" l="1"/>
  <c r="E28" i="32" l="1"/>
  <c r="C32" i="2" l="1"/>
  <c r="E24" i="32" l="1"/>
  <c r="E32" i="32" s="1"/>
  <c r="E34" i="32" s="1"/>
  <c r="C20" i="23" l="1"/>
  <c r="C20" i="22"/>
  <c r="C20" i="15"/>
  <c r="C14" i="19"/>
  <c r="E28" i="27" l="1"/>
  <c r="E34" i="27" l="1"/>
  <c r="C22" i="23"/>
  <c r="C22" i="22"/>
  <c r="C22" i="15"/>
  <c r="C36" i="2"/>
  <c r="G18" i="41" l="1"/>
  <c r="F13" i="11" l="1"/>
  <c r="F11" i="11" l="1"/>
  <c r="F12" i="11"/>
  <c r="C11" i="29" l="1"/>
  <c r="E11" i="29"/>
  <c r="E11" i="39"/>
  <c r="C11" i="39"/>
  <c r="J13" i="11"/>
  <c r="H13" i="11"/>
  <c r="E16" i="27" l="1"/>
  <c r="E29" i="20" l="1"/>
  <c r="E23" i="20"/>
  <c r="E17" i="20"/>
  <c r="E11" i="20"/>
  <c r="F10" i="11" l="1"/>
  <c r="E12" i="29" l="1"/>
  <c r="C12" i="29"/>
  <c r="C12" i="21" l="1"/>
  <c r="C13" i="21" s="1"/>
  <c r="C12" i="2" l="1"/>
  <c r="C15" i="2" l="1"/>
  <c r="C14" i="2"/>
  <c r="G6" i="36" l="1"/>
  <c r="C12" i="39" l="1"/>
  <c r="E12" i="39" l="1"/>
  <c r="C26" i="2" l="1"/>
  <c r="C28" i="2" s="1"/>
  <c r="C27" i="2" l="1"/>
  <c r="C29" i="2" s="1"/>
  <c r="C30" i="2" l="1"/>
  <c r="C15"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0" i="2" l="1"/>
  <c r="G44" i="30" s="1"/>
  <c r="G35" i="36"/>
  <c r="G37" i="36" l="1"/>
  <c r="E19" i="27" s="1"/>
  <c r="G41" i="36" l="1"/>
  <c r="G27" i="30"/>
  <c r="G31" i="30" l="1"/>
  <c r="G33" i="30" l="1"/>
  <c r="G37" i="30" s="1"/>
  <c r="G39" i="30" s="1"/>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<sst xmlns="http://schemas.openxmlformats.org/spreadsheetml/2006/main" count="623" uniqueCount="292">
  <si>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</si>
  <si>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</si>
  <si>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</si>
  <si>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</si>
  <si>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</si>
  <si>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</si>
  <si>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</si>
  <si>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</si>
  <si>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</si>
  <si>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</si>
  <si>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</si>
  <si>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</si>
  <si>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</si>
  <si>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</si>
  <si>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</si>
  <si>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</si>
  <si>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</si>
  <si>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</si>
  <si>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</si>
  <si>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</si>
  <si>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</si>
  <si>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</si>
  <si>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</si>
  <si>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</si>
  <si>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</si>
  <si>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</si>
  <si>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</si>
  <si>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</si>
  <si>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</si>
  <si>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</si>
  <si>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</si>
  <si>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</si>
  <si>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</si>
  <si>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</si>
  <si>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</si>
  <si>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</si>
  <si>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</si>
  <si>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</si>
  <si>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</si>
  <si>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</si>
  <si>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</si>
  <si>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</si>
  <si>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</si>
  <si>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</si>
  <si>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</si>
  <si>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</si>
  <si>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</si>
  <si>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</si>
  <si>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</si>
  <si>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</si>
  <si>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</si>
  <si>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</si>
  <si>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</si>
  <si>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</si>
  <si>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</si>
  <si>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</si>
  <si>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</si>
  <si>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</si>
  <si>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</si>
  <si>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</si>
  <si>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</si>
  <si>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</si>
  <si>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</si>
  <si>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</si>
  <si>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</si>
  <si>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</si>
  <si>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</si>
  <si>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</si>
  <si>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</si>
  <si>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</si>
  <si>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</si>
  <si>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</si>
  <si>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</si>
  <si>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</si>
  <si>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</si>
  <si>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</si>
  <si>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</si>
  <si>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</si>
  <si>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</si>
  <si>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</si>
  <si>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</si>
  <si>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</si>
  <si>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</si>
  <si>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</si>
  <si>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</si>
  <si>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</si>
  <si>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</si>
  <si>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</si>
  <si>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</si>
  <si>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</si>
  <si>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</si>
  <si>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</si>
  <si>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</si>
  <si>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</si>
  <si>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</si>
  <si>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</si>
  <si>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</si>
  <si>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</si>
  <si>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</si>
  <si>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</si>
  <si>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</si>
  <si>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</si>
  <si>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</si>
  <si>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</si>
  <si>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</si>
  <si>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</si>
  <si>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</si>
  <si>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</si>
  <si>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</si>
  <si>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</si>
  <si>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</si>
  <si>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</si>
  <si>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</si>
  <si>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</si>
  <si>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</si>
  <si>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</si>
  <si>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</si>
  <si>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</si>
  <si>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</si>
  <si>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</si>
  <si>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</si>
  <si>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</si>
  <si>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</si>
  <si>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</si>
  <si>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</si>
  <si>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</si>
  <si>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</si>
  <si>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</si>
  <si>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</si>
  <si>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</si>
  <si>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</si>
  <si>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</si>
  <si>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</si>
  <si>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</si>
  <si>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</si>
  <si>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</si>
  <si>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</si>
  <si>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</si>
  <si>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</si>
  <si>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</si>
  <si>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</si>
  <si>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</si>
  <si>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</si>
  <si>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</si>
  <si>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</si>
  <si>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</si>
  <si>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</si>
  <si>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</si>
  <si>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</si>
  <si>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</si>
  <si>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</si>
  <si>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</si>
  <si>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</si>
  <si>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</si>
  <si>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</si>
  <si>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</si>
  <si>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</si>
  <si>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</si>
  <si>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</si>
  <si>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</si>
  <si>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</si>
  <si>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</si>
  <si>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</si>
  <si>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</si>
  <si>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</si>
  <si>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</si>
  <si>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</si>
  <si>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</si>
  <si>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</si>
  <si>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</si>
  <si>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</si>
  <si>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</si>
  <si>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</si>
  <si>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</si>
  <si>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</si>
  <si>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</si>
  <si>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</si>
  <si>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</si>
  <si>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</si>
  <si>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</si>
  <si>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</si>
  <si>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</si>
  <si>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</si>
  <si>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</si>
  <si>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</si>
  <si>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</si>
  <si>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</si>
  <si>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</si>
  <si>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</si>
  <si>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</si>
  <si>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</si>
  <si>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</si>
  <si>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</si>
  <si>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</si>
  <si>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</si>
  <si>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</si>
  <si>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</si>
  <si>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</si>
  <si>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</si>
  <si>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</si>
  <si>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</si>
  <si>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</si>
  <si>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</si>
  <si>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</si>
  <si>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</si>
  <si>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</si>
  <si>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</si>
  <si>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</si>
  <si>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</si>
  <si>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</si>
  <si>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</si>
  <si>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</si>
  <si>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</si>
  <si>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</si>
  <si>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</si>
  <si>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</si>
  <si>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</si>
  <si>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</si>
  <si>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</si>
  <si>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</si>
  <si>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</si>
  <si>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</si>
  <si>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</si>
  <si>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</si>
  <si>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</si>
  <si>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</si>
  <si>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</si>
  <si>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</si>
  <si>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</si>
  <si>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</si>
  <si>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</si>
  <si>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</si>
  <si>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</si>
  <si>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</si>
  <si>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</si>
  <si>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</si>
  <si>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</si>
  <si>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</si>
  <si>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</si>
  <si>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</si>
  <si>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</si>
  <si>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</si>
  <si>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</si>
  <si>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</si>
  <si>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</si>
  <si>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</si>
  <si>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</si>
  <si>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</si>
  <si>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</si>
  <si>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</si>
  <si>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</si>
  <si>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</si>
  <si>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</si>
  <si>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</si>
  <si>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</si>
  <si>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</si>
  <si>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</si>
  <si>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</si>
  <si>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</si>
  <si>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</si>
  <si>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</si>
  <si>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</si>
  <si>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</si>
  <si>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</si>
  <si>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Til indregning i de økonomiske rammer for 2024-2027</t>
  </si>
  <si>
    <t>Spildevandsafgift</t>
  </si>
  <si>
    <t>Afgift til Forsyningssekretariatet</t>
  </si>
  <si>
    <t>Køb af ydelser og produkter fra andre vandselskaber reguleret af vandsektorloven</t>
  </si>
  <si>
    <t>Ejendomsskatter</t>
  </si>
  <si>
    <t>Forklaring, Konstruktioner</t>
  </si>
  <si>
    <t>Forklaring, Mek/EL</t>
  </si>
  <si>
    <t>Forklaring, SRO</t>
  </si>
  <si>
    <t>Oprensning af bassiner</t>
  </si>
  <si>
    <t>Resultat af kontrol med overholdelse af den økonomiske ramme for 2021</t>
  </si>
  <si>
    <t>Ingen tilknyttet virksomhed under hovedvirksomheden</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</si>
  <si>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</si>
  <si>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</si>
  <si>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</si>
  <si>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</si>
  <si>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</si>
  <si>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</si>
  <si>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</si>
  <si>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</si>
  <si>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Indregnet fradrag i økonomisk ramme for 2022</t>
  </si>
  <si>
    <t>Indregnet fradrag i økonomisk ramme for 2023</t>
  </si>
  <si>
    <t>Korrektion af fradrag i den økonomiske ramme for 2023</t>
  </si>
  <si>
    <t>Tillæg/fradrag i den økonnomiske ramme for 2023</t>
  </si>
  <si>
    <t>Byggemodninger</t>
  </si>
  <si>
    <t>Oversigt over den økonomiske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</si>
  <si>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</si>
  <si>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</si>
  <si>
    <t>Kloakseparering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</si>
</sst>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4">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5" fontId="7" fillId="3" borderId="6" xfId="0" applyNumberFormat="1"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left" vertical="top" wrapText="1"/>
    </xf>
    <xf numFmtId="0" fontId="8" fillId="8" borderId="6" xfId="0" applyFont="1" applyFill="1" applyBorder="1" applyAlignment="1" applyProtection="1">
      <alignment horizontal="left" vertical="top"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10" t="s">
        <v>4</v>
      </c>
      <c r="E6" s="110"/>
      <c r="F6" s="110"/>
      <c r="G6" s="110"/>
      <c r="H6" s="3"/>
      <c r="I6" s="1"/>
    </row>
    <row r="7" spans="1:9" ht="15" customHeight="1" x14ac:dyDescent="0.25">
      <c r="A7" s="1"/>
      <c r="B7" s="1"/>
      <c r="C7" s="3"/>
      <c r="D7" s="110"/>
      <c r="E7" s="110"/>
      <c r="F7" s="110"/>
      <c r="G7" s="110"/>
      <c r="H7" s="3"/>
      <c r="I7" s="1"/>
    </row>
    <row r="8" spans="1:9" ht="15.75" x14ac:dyDescent="0.25">
      <c r="A8" s="1"/>
      <c r="B8" s="1"/>
      <c r="C8" s="4"/>
      <c r="D8" s="115" t="s">
        <v>225</v>
      </c>
      <c r="E8" s="115"/>
      <c r="F8" s="115"/>
      <c r="G8" s="115"/>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14" t="s">
        <v>5</v>
      </c>
      <c r="E11" s="114"/>
      <c r="F11" s="114"/>
      <c r="G11" s="114"/>
      <c r="H11" s="5"/>
      <c r="I11" s="1"/>
    </row>
    <row r="12" spans="1:9" x14ac:dyDescent="0.25">
      <c r="A12" s="1"/>
      <c r="B12" s="1"/>
      <c r="C12" s="1"/>
      <c r="D12" s="1"/>
      <c r="E12" s="1"/>
      <c r="F12" s="1"/>
      <c r="G12" s="1"/>
      <c r="H12" s="5"/>
      <c r="I12" s="1"/>
    </row>
    <row r="13" spans="1:9" x14ac:dyDescent="0.25">
      <c r="A13" s="1"/>
      <c r="B13" s="1"/>
      <c r="C13" s="6" t="s">
        <v>6</v>
      </c>
      <c r="D13" s="116" t="s">
        <v>169</v>
      </c>
      <c r="E13" s="117"/>
      <c r="F13" s="117"/>
      <c r="G13" s="118"/>
      <c r="H13" s="5"/>
      <c r="I13" s="1"/>
    </row>
    <row r="14" spans="1:9" x14ac:dyDescent="0.25">
      <c r="A14" s="1"/>
      <c r="B14" s="1"/>
      <c r="C14" s="6" t="s">
        <v>16</v>
      </c>
      <c r="D14" s="107" t="s">
        <v>235</v>
      </c>
      <c r="E14" s="108"/>
      <c r="F14" s="108"/>
      <c r="G14" s="109"/>
      <c r="H14" s="5"/>
      <c r="I14" s="1"/>
    </row>
    <row r="15" spans="1:9" x14ac:dyDescent="0.25">
      <c r="A15" s="1"/>
      <c r="B15" s="1"/>
      <c r="C15" s="6" t="s">
        <v>34</v>
      </c>
      <c r="D15" s="107" t="s">
        <v>170</v>
      </c>
      <c r="E15" s="108"/>
      <c r="F15" s="108"/>
      <c r="G15" s="109"/>
      <c r="H15" s="5"/>
      <c r="I15" s="1"/>
    </row>
    <row r="16" spans="1:9" x14ac:dyDescent="0.25">
      <c r="A16" s="1"/>
      <c r="B16" s="1"/>
      <c r="C16" s="6" t="s">
        <v>35</v>
      </c>
      <c r="D16" s="107" t="s">
        <v>182</v>
      </c>
      <c r="E16" s="108"/>
      <c r="F16" s="108"/>
      <c r="G16" s="109"/>
      <c r="H16" s="5"/>
      <c r="I16" s="1"/>
    </row>
    <row r="17" spans="1:9" x14ac:dyDescent="0.25">
      <c r="A17" s="1"/>
      <c r="B17" s="1"/>
      <c r="C17" s="6" t="s">
        <v>119</v>
      </c>
      <c r="D17" s="107" t="s">
        <v>183</v>
      </c>
      <c r="E17" s="108"/>
      <c r="F17" s="108"/>
      <c r="G17" s="109"/>
      <c r="H17" s="5"/>
      <c r="I17" s="1"/>
    </row>
    <row r="18" spans="1:9" x14ac:dyDescent="0.25">
      <c r="A18" s="1"/>
      <c r="B18" s="1"/>
      <c r="C18" s="6" t="s">
        <v>106</v>
      </c>
      <c r="D18" s="104" t="s">
        <v>95</v>
      </c>
      <c r="E18" s="105"/>
      <c r="F18" s="105"/>
      <c r="G18" s="106"/>
      <c r="H18" s="5"/>
      <c r="I18" s="1"/>
    </row>
    <row r="19" spans="1:9" x14ac:dyDescent="0.25">
      <c r="A19" s="1"/>
      <c r="B19" s="1"/>
      <c r="C19" s="6" t="s">
        <v>107</v>
      </c>
      <c r="D19" s="104" t="s">
        <v>96</v>
      </c>
      <c r="E19" s="105"/>
      <c r="F19" s="105"/>
      <c r="G19" s="106"/>
      <c r="H19" s="5"/>
      <c r="I19" s="1"/>
    </row>
    <row r="20" spans="1:9" x14ac:dyDescent="0.25">
      <c r="A20" s="1"/>
      <c r="B20" s="1"/>
      <c r="C20" s="6" t="s">
        <v>7</v>
      </c>
      <c r="D20" s="104" t="s">
        <v>10</v>
      </c>
      <c r="E20" s="105"/>
      <c r="F20" s="105"/>
      <c r="G20" s="106"/>
      <c r="H20" s="5"/>
      <c r="I20" s="1"/>
    </row>
    <row r="21" spans="1:9" x14ac:dyDescent="0.25">
      <c r="A21" s="1"/>
      <c r="B21" s="1"/>
      <c r="C21" s="6" t="s">
        <v>108</v>
      </c>
      <c r="D21" s="111" t="s">
        <v>12</v>
      </c>
      <c r="E21" s="112"/>
      <c r="F21" s="112"/>
      <c r="G21" s="113"/>
      <c r="H21" s="5"/>
      <c r="I21" s="1"/>
    </row>
    <row r="22" spans="1:9" x14ac:dyDescent="0.25">
      <c r="A22" s="1"/>
      <c r="B22" s="1"/>
      <c r="C22" s="6" t="s">
        <v>83</v>
      </c>
      <c r="D22" s="98" t="s">
        <v>184</v>
      </c>
      <c r="E22" s="99"/>
      <c r="F22" s="99"/>
      <c r="G22" s="100"/>
      <c r="H22" s="5"/>
      <c r="I22" s="1"/>
    </row>
    <row r="23" spans="1:9" x14ac:dyDescent="0.25">
      <c r="A23" s="1"/>
      <c r="B23" s="1"/>
      <c r="C23" s="6" t="s">
        <v>8</v>
      </c>
      <c r="D23" s="98" t="s">
        <v>253</v>
      </c>
      <c r="E23" s="99"/>
      <c r="F23" s="99"/>
      <c r="G23" s="100"/>
      <c r="H23" s="5"/>
      <c r="I23" s="1"/>
    </row>
    <row r="24" spans="1:9" x14ac:dyDescent="0.25">
      <c r="A24" s="1"/>
      <c r="B24" s="1"/>
      <c r="C24" s="6" t="s">
        <v>9</v>
      </c>
      <c r="D24" s="98" t="s">
        <v>185</v>
      </c>
      <c r="E24" s="99"/>
      <c r="F24" s="99"/>
      <c r="G24" s="100"/>
      <c r="H24" s="5"/>
      <c r="I24" s="1"/>
    </row>
    <row r="25" spans="1:9" x14ac:dyDescent="0.25">
      <c r="A25" s="1"/>
      <c r="B25" s="1"/>
      <c r="C25" s="6" t="s">
        <v>246</v>
      </c>
      <c r="D25" s="98" t="s">
        <v>237</v>
      </c>
      <c r="E25" s="99"/>
      <c r="F25" s="99"/>
      <c r="G25" s="100"/>
      <c r="H25" s="1"/>
      <c r="I25" s="1"/>
    </row>
    <row r="26" spans="1:9" x14ac:dyDescent="0.25">
      <c r="A26" s="1"/>
      <c r="B26" s="1"/>
      <c r="C26" s="6" t="s">
        <v>247</v>
      </c>
      <c r="D26" s="98" t="s">
        <v>84</v>
      </c>
      <c r="E26" s="99"/>
      <c r="F26" s="99"/>
      <c r="G26" s="100"/>
      <c r="H26" s="1"/>
      <c r="I26" s="1"/>
    </row>
    <row r="27" spans="1:9" x14ac:dyDescent="0.25">
      <c r="A27" s="1"/>
      <c r="B27" s="1"/>
      <c r="C27" s="6" t="s">
        <v>248</v>
      </c>
      <c r="D27" s="98" t="s">
        <v>85</v>
      </c>
      <c r="E27" s="99"/>
      <c r="F27" s="99"/>
      <c r="G27" s="100"/>
      <c r="H27" s="1"/>
      <c r="I27" s="1"/>
    </row>
    <row r="28" spans="1:9" x14ac:dyDescent="0.25">
      <c r="A28" s="1"/>
      <c r="B28" s="1"/>
      <c r="C28" s="6" t="s">
        <v>15</v>
      </c>
      <c r="D28" s="98" t="s">
        <v>86</v>
      </c>
      <c r="E28" s="99"/>
      <c r="F28" s="99"/>
      <c r="G28" s="100"/>
      <c r="H28" s="1"/>
      <c r="I28" s="1"/>
    </row>
    <row r="29" spans="1:9" x14ac:dyDescent="0.25">
      <c r="A29" s="1"/>
      <c r="B29" s="1"/>
      <c r="C29" s="6" t="s">
        <v>37</v>
      </c>
      <c r="D29" s="98" t="s">
        <v>134</v>
      </c>
      <c r="E29" s="99"/>
      <c r="F29" s="99"/>
      <c r="G29" s="100"/>
      <c r="H29" s="1"/>
      <c r="I29" s="1"/>
    </row>
    <row r="30" spans="1:9" x14ac:dyDescent="0.25">
      <c r="A30" s="1"/>
      <c r="B30" s="1"/>
      <c r="C30" s="6" t="s">
        <v>38</v>
      </c>
      <c r="D30" s="98" t="s">
        <v>36</v>
      </c>
      <c r="E30" s="99"/>
      <c r="F30" s="99"/>
      <c r="G30" s="100"/>
      <c r="H30" s="1"/>
      <c r="I30" s="1"/>
    </row>
    <row r="31" spans="1:9" x14ac:dyDescent="0.25">
      <c r="A31" s="1"/>
      <c r="B31" s="1"/>
      <c r="C31" s="6" t="s">
        <v>249</v>
      </c>
      <c r="D31" s="101" t="s">
        <v>105</v>
      </c>
      <c r="E31" s="102"/>
      <c r="F31" s="102"/>
      <c r="G31" s="103"/>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algorithmName="SHA-512" hashValue="3HjJxDqBEdqQfCGuZ9f5ZJqnDcdSaHYI+2PvQr6Pk3k62R8j3+0nfw5co4cBUs1qAsGE5mYSzSOs8iPgMVRaGQ==" saltValue="sG3Zm4YiatWksKm111lqJA==" spinCount="100000"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1"/>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9" t="s">
        <v>111</v>
      </c>
      <c r="C3" s="119"/>
      <c r="D3" s="119"/>
      <c r="E3" s="1"/>
      <c r="F3" s="1"/>
    </row>
    <row r="4" spans="1:6" ht="15" customHeight="1" x14ac:dyDescent="0.25">
      <c r="A4" s="1"/>
      <c r="B4" s="119"/>
      <c r="C4" s="119"/>
      <c r="D4" s="11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1" t="s">
        <v>199</v>
      </c>
      <c r="C8" s="132"/>
      <c r="D8" s="133"/>
      <c r="E8" s="1"/>
      <c r="F8" s="1"/>
    </row>
    <row r="9" spans="1:6" ht="15" customHeight="1" x14ac:dyDescent="0.25">
      <c r="A9" s="1"/>
      <c r="B9" s="26" t="s">
        <v>32</v>
      </c>
      <c r="C9" s="58" t="s">
        <v>240</v>
      </c>
      <c r="D9" s="11"/>
      <c r="E9" s="1"/>
      <c r="F9" s="1"/>
    </row>
    <row r="10" spans="1:6" x14ac:dyDescent="0.25">
      <c r="A10" s="1"/>
      <c r="B10" s="94" t="s">
        <v>265</v>
      </c>
      <c r="C10" s="9">
        <v>2223148</v>
      </c>
      <c r="D10" s="14" t="s">
        <v>3</v>
      </c>
      <c r="E10" s="1"/>
      <c r="F10" s="1"/>
    </row>
    <row r="11" spans="1:6" x14ac:dyDescent="0.25">
      <c r="A11" s="1"/>
      <c r="B11" s="94" t="s">
        <v>266</v>
      </c>
      <c r="C11" s="9">
        <v>137561</v>
      </c>
      <c r="D11" s="14" t="s">
        <v>3</v>
      </c>
      <c r="E11" s="1"/>
      <c r="F11" s="1"/>
    </row>
    <row r="12" spans="1:6" x14ac:dyDescent="0.25">
      <c r="A12" s="1"/>
      <c r="B12" s="94" t="s">
        <v>267</v>
      </c>
      <c r="C12" s="9">
        <v>878075</v>
      </c>
      <c r="D12" s="14" t="s">
        <v>3</v>
      </c>
      <c r="E12" s="1"/>
      <c r="F12" s="1"/>
    </row>
    <row r="13" spans="1:6" x14ac:dyDescent="0.25">
      <c r="A13" s="1"/>
      <c r="B13" s="94" t="s">
        <v>268</v>
      </c>
      <c r="C13" s="9">
        <v>276794</v>
      </c>
      <c r="D13" s="14" t="s">
        <v>3</v>
      </c>
      <c r="E13" s="1"/>
      <c r="F13" s="1"/>
    </row>
    <row r="14" spans="1:6" x14ac:dyDescent="0.25">
      <c r="A14" s="1"/>
      <c r="B14" s="32" t="s">
        <v>200</v>
      </c>
      <c r="C14" s="12">
        <f>SUM(C10:C13)</f>
        <v>3515578</v>
      </c>
      <c r="D14" s="13" t="s">
        <v>3</v>
      </c>
      <c r="E14" s="1"/>
      <c r="F14" s="1"/>
    </row>
    <row r="15" spans="1:6" x14ac:dyDescent="0.25">
      <c r="A15" s="1"/>
      <c r="B15" s="32" t="s">
        <v>201</v>
      </c>
      <c r="C15" s="12">
        <f>C14*(1+'Fane 15. Nøgletal'!C15)^2</f>
        <v>3770342.6565340804</v>
      </c>
      <c r="D15" s="13" t="s">
        <v>3</v>
      </c>
      <c r="E15" s="1"/>
      <c r="F15" s="1"/>
    </row>
    <row r="16" spans="1:6" x14ac:dyDescent="0.25">
      <c r="A16" s="1"/>
      <c r="B16" s="16"/>
      <c r="C16" s="15"/>
      <c r="D16" s="15"/>
      <c r="E16" s="1"/>
      <c r="F16" s="1"/>
    </row>
    <row r="17" spans="1:6" x14ac:dyDescent="0.25">
      <c r="A17" s="1"/>
      <c r="B17" s="16"/>
      <c r="C17" s="15"/>
      <c r="D17" s="15"/>
      <c r="E17" s="1"/>
      <c r="F17" s="1"/>
    </row>
    <row r="18" spans="1:6" x14ac:dyDescent="0.25">
      <c r="A18" s="1"/>
      <c r="B18" s="131" t="s">
        <v>117</v>
      </c>
      <c r="C18" s="132"/>
      <c r="D18" s="133"/>
      <c r="E18" s="1"/>
      <c r="F18" s="1"/>
    </row>
    <row r="19" spans="1:6" x14ac:dyDescent="0.25">
      <c r="A19" s="1"/>
      <c r="B19" s="94" t="s">
        <v>99</v>
      </c>
      <c r="C19" s="9">
        <v>0</v>
      </c>
      <c r="D19" s="14" t="s">
        <v>3</v>
      </c>
      <c r="E19" s="1"/>
      <c r="F19" s="1"/>
    </row>
    <row r="20" spans="1:6" x14ac:dyDescent="0.25">
      <c r="A20" s="1"/>
      <c r="B20" s="94" t="s">
        <v>129</v>
      </c>
      <c r="C20" s="9">
        <v>0</v>
      </c>
      <c r="D20" s="14" t="s">
        <v>3</v>
      </c>
      <c r="E20" s="1"/>
      <c r="F20" s="1"/>
    </row>
    <row r="21" spans="1:6" x14ac:dyDescent="0.25">
      <c r="A21" s="1"/>
      <c r="B21" s="94" t="s">
        <v>155</v>
      </c>
      <c r="C21" s="9">
        <v>0</v>
      </c>
      <c r="D21" s="14" t="s">
        <v>3</v>
      </c>
      <c r="E21" s="1"/>
      <c r="F21" s="1"/>
    </row>
    <row r="22" spans="1:6" x14ac:dyDescent="0.25">
      <c r="A22" s="1"/>
      <c r="B22" s="33" t="s">
        <v>202</v>
      </c>
      <c r="C22" s="9">
        <v>0</v>
      </c>
      <c r="D22" s="40" t="s">
        <v>3</v>
      </c>
      <c r="E22" s="1"/>
      <c r="F22" s="1"/>
    </row>
    <row r="23" spans="1:6" x14ac:dyDescent="0.25">
      <c r="A23" s="1"/>
      <c r="B23" s="131"/>
      <c r="C23" s="132"/>
      <c r="D23" s="133"/>
      <c r="E23" s="1"/>
      <c r="F23" s="1"/>
    </row>
    <row r="24" spans="1:6" x14ac:dyDescent="0.25">
      <c r="A24" s="1"/>
      <c r="B24" s="1"/>
      <c r="C24" s="1"/>
      <c r="D24" s="1"/>
      <c r="E24" s="1"/>
      <c r="F24" s="1"/>
    </row>
    <row r="25" spans="1:6" x14ac:dyDescent="0.25">
      <c r="A25" s="1"/>
      <c r="B25" s="1"/>
      <c r="C25" s="1"/>
      <c r="D25" s="1"/>
      <c r="E25" s="1"/>
      <c r="F25" s="1"/>
    </row>
    <row r="26" spans="1:6" x14ac:dyDescent="0.25">
      <c r="A26" s="1"/>
      <c r="B26" s="131" t="s">
        <v>98</v>
      </c>
      <c r="C26" s="132"/>
      <c r="D26" s="133"/>
      <c r="E26" s="1"/>
      <c r="F26" s="1"/>
    </row>
    <row r="27" spans="1:6" x14ac:dyDescent="0.25">
      <c r="A27" s="1"/>
      <c r="B27" s="94" t="s">
        <v>99</v>
      </c>
      <c r="C27" s="9">
        <v>0</v>
      </c>
      <c r="D27" s="14" t="s">
        <v>3</v>
      </c>
      <c r="E27" s="1"/>
      <c r="F27" s="1"/>
    </row>
    <row r="28" spans="1:6" x14ac:dyDescent="0.25">
      <c r="A28" s="1"/>
      <c r="B28" s="94" t="s">
        <v>129</v>
      </c>
      <c r="C28" s="9">
        <v>0</v>
      </c>
      <c r="D28" s="14" t="s">
        <v>3</v>
      </c>
      <c r="E28" s="1"/>
      <c r="F28" s="1"/>
    </row>
    <row r="29" spans="1:6" x14ac:dyDescent="0.25">
      <c r="A29" s="1"/>
      <c r="B29" s="94" t="s">
        <v>155</v>
      </c>
      <c r="C29" s="9">
        <v>0</v>
      </c>
      <c r="D29" s="14" t="s">
        <v>3</v>
      </c>
      <c r="E29" s="1"/>
      <c r="F29" s="1"/>
    </row>
    <row r="30" spans="1:6" x14ac:dyDescent="0.25">
      <c r="A30" s="1"/>
      <c r="B30" s="33" t="s">
        <v>202</v>
      </c>
      <c r="C30" s="9">
        <v>0</v>
      </c>
      <c r="D30" s="40" t="s">
        <v>3</v>
      </c>
      <c r="E30" s="1"/>
      <c r="F30" s="1"/>
    </row>
    <row r="31" spans="1:6" x14ac:dyDescent="0.25">
      <c r="A31" s="1"/>
      <c r="B31" s="131"/>
      <c r="C31" s="132"/>
      <c r="D31" s="133"/>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49"/>
      <c r="B48" s="49"/>
      <c r="C48" s="49"/>
      <c r="D48" s="49"/>
      <c r="E48" s="49"/>
      <c r="F48" s="49"/>
    </row>
    <row r="49" spans="1:6" x14ac:dyDescent="0.25">
      <c r="A49" s="49"/>
      <c r="B49" s="49"/>
      <c r="C49" s="49"/>
      <c r="D49" s="49"/>
      <c r="E49" s="49"/>
      <c r="F49" s="49"/>
    </row>
    <row r="50" spans="1:6" x14ac:dyDescent="0.25">
      <c r="A50" s="49"/>
      <c r="B50" s="49"/>
      <c r="C50" s="49"/>
      <c r="D50" s="49"/>
      <c r="E50" s="49"/>
      <c r="F50" s="49"/>
    </row>
    <row r="51" spans="1:6" x14ac:dyDescent="0.25">
      <c r="A51" s="49"/>
      <c r="B51" s="49"/>
      <c r="C51" s="49"/>
      <c r="D51" s="49"/>
      <c r="E51" s="49"/>
      <c r="F51" s="49"/>
    </row>
  </sheetData>
  <sheetProtection algorithmName="SHA-512" hashValue="5q8NEQa0fyOr5Rra/3+DHDG4lnW7cnAUPKCNVj/LvGYK7jrUbbi1uN7Bkthwce1pBqO/khZpnpN5iua+zI8/Mg==" saltValue="1Q3K9FWu2zj5VmDC2qT0xw==" spinCount="100000" sheet="1" objects="1" scenarios="1"/>
  <mergeCells count="6">
    <mergeCell ref="B31:D31"/>
    <mergeCell ref="B3:D4"/>
    <mergeCell ref="B8:D8"/>
    <mergeCell ref="B18:D18"/>
    <mergeCell ref="B26:D26"/>
    <mergeCell ref="B23:D23"/>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1"/>
  <sheetViews>
    <sheetView showGridLines="0" view="pageLayout" zoomScale="80" zoomScaleNormal="100" zoomScalePageLayoutView="80" workbookViewId="0"/>
  </sheetViews>
  <sheetFormatPr defaultColWidth="9.140625" defaultRowHeight="15" x14ac:dyDescent="0.25"/>
  <cols>
    <col min="1" max="1" width="3.5703125" style="2" customWidth="1"/>
    <col min="2" max="3" width="9.140625" style="2"/>
    <col min="4" max="4" width="43.7109375" style="2" customWidth="1"/>
    <col min="5" max="5" width="13.7109375" style="2"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4" t="s">
        <v>203</v>
      </c>
      <c r="C3" s="124"/>
      <c r="D3" s="124"/>
      <c r="E3" s="124"/>
      <c r="F3" s="124"/>
      <c r="G3" s="1"/>
    </row>
    <row r="4" spans="1:7" ht="15" customHeight="1" x14ac:dyDescent="0.25">
      <c r="A4" s="1"/>
      <c r="B4" s="124"/>
      <c r="C4" s="124"/>
      <c r="D4" s="124"/>
      <c r="E4" s="124"/>
      <c r="F4" s="124"/>
      <c r="G4" s="1"/>
    </row>
    <row r="5" spans="1:7" ht="15" customHeight="1" x14ac:dyDescent="0.25">
      <c r="A5" s="1"/>
      <c r="B5" s="82"/>
      <c r="C5" s="82"/>
      <c r="D5" s="82"/>
      <c r="E5" s="82"/>
      <c r="F5" s="82"/>
      <c r="G5" s="1"/>
    </row>
    <row r="6" spans="1:7" ht="15" customHeight="1" x14ac:dyDescent="0.25">
      <c r="A6" s="1"/>
      <c r="B6" s="82"/>
      <c r="C6" s="82"/>
      <c r="D6" s="82"/>
      <c r="E6" s="82"/>
      <c r="F6" s="82"/>
      <c r="G6" s="1"/>
    </row>
    <row r="7" spans="1:7" x14ac:dyDescent="0.25">
      <c r="A7" s="1"/>
      <c r="B7" s="1"/>
      <c r="C7" s="1"/>
      <c r="D7" s="1"/>
      <c r="E7" s="1"/>
      <c r="F7" s="1"/>
      <c r="G7" s="1"/>
    </row>
    <row r="8" spans="1:7" x14ac:dyDescent="0.25">
      <c r="A8" s="1"/>
      <c r="B8" s="131" t="s">
        <v>178</v>
      </c>
      <c r="C8" s="132"/>
      <c r="D8" s="132"/>
      <c r="E8" s="132"/>
      <c r="F8" s="133"/>
      <c r="G8" s="1"/>
    </row>
    <row r="9" spans="1:7" x14ac:dyDescent="0.25">
      <c r="A9" s="1"/>
      <c r="B9" s="136" t="s">
        <v>204</v>
      </c>
      <c r="C9" s="137"/>
      <c r="D9" s="138"/>
      <c r="E9" s="9">
        <v>2771815.0702187121</v>
      </c>
      <c r="F9" s="14" t="s">
        <v>3</v>
      </c>
      <c r="G9" s="1"/>
    </row>
    <row r="10" spans="1:7" x14ac:dyDescent="0.25">
      <c r="A10" s="1"/>
      <c r="B10" s="136" t="s">
        <v>263</v>
      </c>
      <c r="C10" s="137"/>
      <c r="D10" s="138"/>
      <c r="E10" s="9">
        <v>2771815.0702187121</v>
      </c>
      <c r="F10" s="14" t="s">
        <v>3</v>
      </c>
      <c r="G10" s="1"/>
    </row>
    <row r="11" spans="1:7" x14ac:dyDescent="0.25">
      <c r="A11" s="1"/>
      <c r="B11" s="32"/>
      <c r="C11" s="27"/>
      <c r="D11" s="27"/>
      <c r="E11" s="27"/>
      <c r="F11" s="19"/>
      <c r="G11" s="1"/>
    </row>
    <row r="12" spans="1:7" ht="67.5" customHeight="1" x14ac:dyDescent="0.25">
      <c r="A12" s="1"/>
      <c r="B12" s="121" t="s">
        <v>289</v>
      </c>
      <c r="C12" s="122"/>
      <c r="D12" s="122"/>
      <c r="E12" s="122"/>
      <c r="F12" s="123"/>
      <c r="G12" s="1"/>
    </row>
    <row r="13" spans="1:7" ht="27" customHeight="1" x14ac:dyDescent="0.25">
      <c r="A13" s="1"/>
      <c r="B13" s="1"/>
      <c r="C13" s="1"/>
      <c r="D13" s="1"/>
      <c r="E13" s="1"/>
      <c r="F13" s="1"/>
      <c r="G13" s="1"/>
    </row>
    <row r="14" spans="1:7" ht="28.5" customHeight="1" x14ac:dyDescent="0.25">
      <c r="A14" s="1"/>
      <c r="B14" s="131" t="s">
        <v>179</v>
      </c>
      <c r="C14" s="132"/>
      <c r="D14" s="132"/>
      <c r="E14" s="132"/>
      <c r="F14" s="133"/>
      <c r="G14" s="1"/>
    </row>
    <row r="15" spans="1:7" x14ac:dyDescent="0.25">
      <c r="A15" s="1"/>
      <c r="B15" s="136" t="s">
        <v>283</v>
      </c>
      <c r="C15" s="137"/>
      <c r="D15" s="138"/>
      <c r="E15" s="9">
        <v>-3023587</v>
      </c>
      <c r="F15" s="14" t="s">
        <v>3</v>
      </c>
      <c r="G15" s="1"/>
    </row>
    <row r="16" spans="1:7" x14ac:dyDescent="0.25">
      <c r="A16" s="1"/>
      <c r="B16" s="136" t="s">
        <v>284</v>
      </c>
      <c r="C16" s="137"/>
      <c r="D16" s="138"/>
      <c r="E16" s="9">
        <v>-3023587</v>
      </c>
      <c r="F16" s="14" t="s">
        <v>3</v>
      </c>
      <c r="G16" s="1"/>
    </row>
    <row r="17" spans="1:7" x14ac:dyDescent="0.25">
      <c r="A17" s="1"/>
      <c r="B17" s="32"/>
      <c r="C17" s="27"/>
      <c r="D17" s="27"/>
      <c r="E17" s="27"/>
      <c r="F17" s="19"/>
      <c r="G17" s="1"/>
    </row>
    <row r="18" spans="1:7" ht="31.5" customHeight="1" x14ac:dyDescent="0.25">
      <c r="A18" s="1"/>
      <c r="B18" s="121" t="s">
        <v>290</v>
      </c>
      <c r="C18" s="122"/>
      <c r="D18" s="122"/>
      <c r="E18" s="122"/>
      <c r="F18" s="123"/>
      <c r="G18" s="1"/>
    </row>
    <row r="19" spans="1:7" ht="28.5" customHeight="1" x14ac:dyDescent="0.25">
      <c r="A19" s="1"/>
      <c r="B19" s="1"/>
      <c r="C19" s="1"/>
      <c r="D19" s="1"/>
      <c r="E19" s="1"/>
      <c r="F19" s="1"/>
      <c r="G19" s="1"/>
    </row>
    <row r="20" spans="1:7" ht="28.5" customHeight="1" x14ac:dyDescent="0.25">
      <c r="A20" s="1"/>
      <c r="B20" s="86" t="s">
        <v>205</v>
      </c>
      <c r="C20" s="87"/>
      <c r="D20" s="87"/>
      <c r="E20" s="87"/>
      <c r="F20" s="88"/>
      <c r="G20" s="1"/>
    </row>
    <row r="21" spans="1:7" x14ac:dyDescent="0.25">
      <c r="A21" s="1"/>
      <c r="B21" s="91" t="s">
        <v>206</v>
      </c>
      <c r="C21" s="92"/>
      <c r="D21" s="93"/>
      <c r="E21" s="9">
        <v>155449498.16603738</v>
      </c>
      <c r="F21" s="14" t="s">
        <v>3</v>
      </c>
      <c r="G21" s="1"/>
    </row>
    <row r="22" spans="1:7" x14ac:dyDescent="0.25">
      <c r="A22" s="1"/>
      <c r="B22" s="91" t="s">
        <v>207</v>
      </c>
      <c r="C22" s="92"/>
      <c r="D22" s="93"/>
      <c r="E22" s="9">
        <v>162776347</v>
      </c>
      <c r="F22" s="14" t="s">
        <v>3</v>
      </c>
      <c r="G22" s="1"/>
    </row>
    <row r="23" spans="1:7" x14ac:dyDescent="0.25">
      <c r="A23" s="1"/>
      <c r="B23" s="91" t="s">
        <v>33</v>
      </c>
      <c r="C23" s="92"/>
      <c r="D23" s="93"/>
      <c r="E23" s="9">
        <v>0</v>
      </c>
      <c r="F23" s="14" t="s">
        <v>3</v>
      </c>
      <c r="G23" s="1"/>
    </row>
    <row r="24" spans="1:7" x14ac:dyDescent="0.25">
      <c r="A24" s="1"/>
      <c r="B24" s="89" t="s">
        <v>273</v>
      </c>
      <c r="C24" s="90"/>
      <c r="D24" s="96"/>
      <c r="E24" s="72">
        <f>E21-(E22-E23)</f>
        <v>-7326848.8339626193</v>
      </c>
      <c r="F24" s="17" t="s">
        <v>3</v>
      </c>
      <c r="G24" s="1"/>
    </row>
    <row r="25" spans="1:7" x14ac:dyDescent="0.25">
      <c r="A25" s="1"/>
      <c r="B25" s="32"/>
      <c r="C25" s="27"/>
      <c r="D25" s="27"/>
      <c r="E25" s="27"/>
      <c r="F25" s="19"/>
      <c r="G25" s="1"/>
    </row>
    <row r="26" spans="1:7" x14ac:dyDescent="0.25">
      <c r="A26" s="1"/>
      <c r="B26" s="1"/>
      <c r="C26" s="1"/>
      <c r="D26" s="1"/>
      <c r="E26" s="1"/>
      <c r="F26" s="1"/>
      <c r="G26" s="1"/>
    </row>
    <row r="27" spans="1:7" x14ac:dyDescent="0.25">
      <c r="A27" s="1"/>
      <c r="B27" s="131" t="s">
        <v>285</v>
      </c>
      <c r="C27" s="132"/>
      <c r="D27" s="132"/>
      <c r="E27" s="132"/>
      <c r="F27" s="133"/>
      <c r="G27" s="1"/>
    </row>
    <row r="28" spans="1:7" x14ac:dyDescent="0.25">
      <c r="A28" s="1"/>
      <c r="B28" s="134" t="s">
        <v>286</v>
      </c>
      <c r="C28" s="135"/>
      <c r="D28" s="154"/>
      <c r="E28" s="73">
        <f>E16</f>
        <v>-3023587</v>
      </c>
      <c r="F28" s="17" t="s">
        <v>3</v>
      </c>
      <c r="G28" s="1"/>
    </row>
    <row r="29" spans="1:7" x14ac:dyDescent="0.25">
      <c r="A29" s="1"/>
      <c r="B29" s="131"/>
      <c r="C29" s="132"/>
      <c r="D29" s="132"/>
      <c r="E29" s="132"/>
      <c r="F29" s="133"/>
      <c r="G29" s="1"/>
    </row>
    <row r="30" spans="1:7" x14ac:dyDescent="0.25">
      <c r="A30" s="1"/>
      <c r="B30" s="1"/>
      <c r="C30" s="1"/>
      <c r="D30" s="1"/>
      <c r="E30" s="1"/>
      <c r="F30" s="1"/>
      <c r="G30" s="1"/>
    </row>
    <row r="31" spans="1:7" ht="28.5" customHeight="1" x14ac:dyDescent="0.25">
      <c r="A31" s="1"/>
      <c r="B31" s="131" t="s">
        <v>264</v>
      </c>
      <c r="C31" s="132"/>
      <c r="D31" s="132"/>
      <c r="E31" s="132"/>
      <c r="F31" s="133"/>
      <c r="G31" s="1"/>
    </row>
    <row r="32" spans="1:7" x14ac:dyDescent="0.25">
      <c r="A32" s="1"/>
      <c r="B32" s="155" t="s">
        <v>143</v>
      </c>
      <c r="C32" s="156"/>
      <c r="D32" s="157"/>
      <c r="E32" s="74">
        <f>IF(AND(E9&gt;0,(E9+E24)&gt;0),0,IF(AND(E9&gt;0,(E9+E24)&lt;0),(E9+E24),IF(AND(E9&lt;0,E24&lt;0),E24,0)))</f>
        <v>-4555033.7637439072</v>
      </c>
      <c r="F32" s="14" t="s">
        <v>3</v>
      </c>
      <c r="G32" s="1"/>
    </row>
    <row r="33" spans="1:7" x14ac:dyDescent="0.25">
      <c r="A33" s="1"/>
      <c r="B33" s="155" t="s">
        <v>102</v>
      </c>
      <c r="C33" s="156"/>
      <c r="D33" s="157"/>
      <c r="E33" s="9">
        <v>4</v>
      </c>
      <c r="F33" s="14" t="s">
        <v>20</v>
      </c>
      <c r="G33" s="1"/>
    </row>
    <row r="34" spans="1:7" x14ac:dyDescent="0.25">
      <c r="A34" s="1"/>
      <c r="B34" s="150" t="s">
        <v>144</v>
      </c>
      <c r="C34" s="150"/>
      <c r="D34" s="150"/>
      <c r="E34" s="73">
        <f>E32/E33</f>
        <v>-1138758.4409359768</v>
      </c>
      <c r="F34" s="17" t="s">
        <v>3</v>
      </c>
      <c r="G34" s="1"/>
    </row>
    <row r="35" spans="1:7" x14ac:dyDescent="0.25">
      <c r="A35" s="1"/>
      <c r="B35" s="151"/>
      <c r="C35" s="152"/>
      <c r="D35" s="152"/>
      <c r="E35" s="152"/>
      <c r="F35" s="153"/>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B39" s="49"/>
      <c r="C39" s="49"/>
      <c r="D39" s="49"/>
      <c r="E39" s="49"/>
      <c r="F39" s="49"/>
    </row>
    <row r="40" spans="1:7" x14ac:dyDescent="0.25">
      <c r="A40" s="49"/>
      <c r="B40" s="49"/>
      <c r="C40" s="49"/>
      <c r="D40" s="49"/>
      <c r="E40" s="49"/>
      <c r="F40" s="49"/>
      <c r="G40" s="49"/>
    </row>
    <row r="41" spans="1:7" x14ac:dyDescent="0.25">
      <c r="A41" s="49"/>
      <c r="B41" s="49"/>
      <c r="C41" s="49"/>
      <c r="D41" s="49"/>
      <c r="E41" s="49"/>
      <c r="F41" s="49"/>
      <c r="G41" s="49"/>
    </row>
  </sheetData>
  <sheetProtection algorithmName="SHA-512" hashValue="mfS+vmBr9eyJVVAw2EaXb++Aev9dywF92jNRvcU37qr70QBEPJ8M/LWTzELAdMWyTeK89ebAg1ptmz55IAI7Ww==" saltValue="7YoAKzpTeB7DVFlcoDwXSw==" spinCount="100000" sheet="1" objects="1" scenarios="1"/>
  <mergeCells count="17">
    <mergeCell ref="B15:D15"/>
    <mergeCell ref="B16:D16"/>
    <mergeCell ref="B32:D32"/>
    <mergeCell ref="B29:F29"/>
    <mergeCell ref="B3:F4"/>
    <mergeCell ref="B8:F8"/>
    <mergeCell ref="B9:D9"/>
    <mergeCell ref="B10:D10"/>
    <mergeCell ref="B14:F14"/>
    <mergeCell ref="B12:F12"/>
    <mergeCell ref="B34:D34"/>
    <mergeCell ref="B35:F35"/>
    <mergeCell ref="B18:F18"/>
    <mergeCell ref="B27:F27"/>
    <mergeCell ref="B28:D28"/>
    <mergeCell ref="B31:F31"/>
    <mergeCell ref="B33:D33"/>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69" customWidth="1"/>
    <col min="2" max="2" width="22.5703125" style="69" customWidth="1"/>
    <col min="3" max="3" width="8.28515625" style="69" customWidth="1"/>
    <col min="4" max="6" width="10.7109375" style="69" customWidth="1"/>
    <col min="7" max="7" width="11.140625" style="69" customWidth="1"/>
    <col min="8" max="8" width="3.28515625" style="69" customWidth="1"/>
    <col min="9" max="9" width="4.85546875" style="69" customWidth="1"/>
    <col min="10" max="16384" width="9.140625" style="6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9" t="s">
        <v>250</v>
      </c>
      <c r="C3" s="119"/>
      <c r="D3" s="119"/>
      <c r="E3" s="119"/>
      <c r="F3" s="119"/>
      <c r="G3" s="119"/>
      <c r="H3" s="119"/>
      <c r="I3" s="1"/>
    </row>
    <row r="4" spans="1:9" ht="15" customHeight="1" x14ac:dyDescent="0.25">
      <c r="A4" s="1"/>
      <c r="B4" s="119"/>
      <c r="C4" s="119"/>
      <c r="D4" s="119"/>
      <c r="E4" s="119"/>
      <c r="F4" s="119"/>
      <c r="G4" s="119"/>
      <c r="H4" s="11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1" t="s">
        <v>262</v>
      </c>
      <c r="C8" s="132"/>
      <c r="D8" s="132"/>
      <c r="E8" s="132"/>
      <c r="F8" s="132"/>
      <c r="G8" s="132"/>
      <c r="H8" s="133"/>
      <c r="I8" s="1"/>
    </row>
    <row r="9" spans="1:9" ht="15" customHeight="1" x14ac:dyDescent="0.25">
      <c r="A9" s="1"/>
      <c r="B9" s="128" t="s">
        <v>251</v>
      </c>
      <c r="C9" s="129"/>
      <c r="D9" s="129"/>
      <c r="E9" s="129"/>
      <c r="F9" s="129"/>
      <c r="G9" s="129"/>
      <c r="H9" s="130"/>
      <c r="I9" s="1"/>
    </row>
    <row r="10" spans="1:9" x14ac:dyDescent="0.25">
      <c r="A10" s="1"/>
      <c r="B10" s="158" t="s">
        <v>275</v>
      </c>
      <c r="C10" s="159"/>
      <c r="D10" s="159"/>
      <c r="E10" s="159"/>
      <c r="F10" s="160"/>
      <c r="G10" s="9">
        <v>0</v>
      </c>
      <c r="H10" s="9" t="s">
        <v>3</v>
      </c>
      <c r="I10" s="1"/>
    </row>
    <row r="11" spans="1:9" x14ac:dyDescent="0.25">
      <c r="A11" s="1"/>
      <c r="B11" s="158" t="s">
        <v>276</v>
      </c>
      <c r="C11" s="159"/>
      <c r="D11" s="159"/>
      <c r="E11" s="159"/>
      <c r="F11" s="160"/>
      <c r="G11" s="9">
        <v>0</v>
      </c>
      <c r="H11" s="9" t="s">
        <v>3</v>
      </c>
      <c r="I11" s="1"/>
    </row>
    <row r="12" spans="1:9" x14ac:dyDescent="0.25">
      <c r="A12" s="1"/>
      <c r="B12" s="158" t="s">
        <v>277</v>
      </c>
      <c r="C12" s="159"/>
      <c r="D12" s="159"/>
      <c r="E12" s="159"/>
      <c r="F12" s="160"/>
      <c r="G12" s="9">
        <v>0</v>
      </c>
      <c r="H12" s="9" t="s">
        <v>3</v>
      </c>
      <c r="I12" s="1"/>
    </row>
    <row r="13" spans="1:9" x14ac:dyDescent="0.25">
      <c r="A13" s="1"/>
      <c r="B13" s="158" t="s">
        <v>278</v>
      </c>
      <c r="C13" s="159"/>
      <c r="D13" s="159"/>
      <c r="E13" s="159"/>
      <c r="F13" s="160"/>
      <c r="G13" s="9">
        <v>0</v>
      </c>
      <c r="H13" s="9" t="s">
        <v>3</v>
      </c>
      <c r="I13" s="1"/>
    </row>
    <row r="14" spans="1:9" x14ac:dyDescent="0.25">
      <c r="A14" s="1"/>
      <c r="B14" s="158" t="s">
        <v>279</v>
      </c>
      <c r="C14" s="159"/>
      <c r="D14" s="159"/>
      <c r="E14" s="159"/>
      <c r="F14" s="160"/>
      <c r="G14" s="9">
        <v>0</v>
      </c>
      <c r="H14" s="9" t="s">
        <v>3</v>
      </c>
      <c r="I14" s="1"/>
    </row>
    <row r="15" spans="1:9" x14ac:dyDescent="0.25">
      <c r="A15" s="1"/>
      <c r="B15" s="158" t="s">
        <v>280</v>
      </c>
      <c r="C15" s="159"/>
      <c r="D15" s="159"/>
      <c r="E15" s="159"/>
      <c r="F15" s="160"/>
      <c r="G15" s="9">
        <v>0</v>
      </c>
      <c r="H15" s="9" t="s">
        <v>3</v>
      </c>
      <c r="I15" s="1"/>
    </row>
    <row r="16" spans="1:9" x14ac:dyDescent="0.25">
      <c r="A16" s="1"/>
      <c r="B16" s="158" t="s">
        <v>281</v>
      </c>
      <c r="C16" s="159"/>
      <c r="D16" s="159"/>
      <c r="E16" s="159"/>
      <c r="F16" s="160"/>
      <c r="G16" s="9">
        <v>0</v>
      </c>
      <c r="H16" s="9" t="s">
        <v>3</v>
      </c>
      <c r="I16" s="1"/>
    </row>
    <row r="17" spans="1:9" x14ac:dyDescent="0.25">
      <c r="A17" s="1"/>
      <c r="B17" s="158" t="s">
        <v>282</v>
      </c>
      <c r="C17" s="159"/>
      <c r="D17" s="159"/>
      <c r="E17" s="159"/>
      <c r="F17" s="160"/>
      <c r="G17" s="9">
        <v>0</v>
      </c>
      <c r="H17" s="9" t="s">
        <v>3</v>
      </c>
      <c r="I17" s="1"/>
    </row>
    <row r="18" spans="1:9" x14ac:dyDescent="0.25">
      <c r="A18" s="1"/>
      <c r="B18" s="131" t="s">
        <v>252</v>
      </c>
      <c r="C18" s="132"/>
      <c r="D18" s="132"/>
      <c r="E18" s="132"/>
      <c r="F18" s="133"/>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vZxRBMZEd7mgUCChK6sVfnpqhZDHbMBATAt1ECGk9pDnrSfMiFbPbmPNGpFZU6eI6WbBQyLwz/4Dxuhb8Gw4BQ==" saltValue="sP5hFslxIfMxnCPddpJnFA==" spinCount="100000" sheet="1" objects="1" scenarios="1"/>
  <mergeCells count="12">
    <mergeCell ref="B17:F17"/>
    <mergeCell ref="B18:F18"/>
    <mergeCell ref="B12:F12"/>
    <mergeCell ref="B13:F13"/>
    <mergeCell ref="B14:F14"/>
    <mergeCell ref="B15:F15"/>
    <mergeCell ref="B16:F16"/>
    <mergeCell ref="B9:H9"/>
    <mergeCell ref="B3:H4"/>
    <mergeCell ref="B8:H8"/>
    <mergeCell ref="B11:F11"/>
    <mergeCell ref="B10:F10"/>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4" t="s">
        <v>254</v>
      </c>
      <c r="C3" s="124"/>
      <c r="D3" s="124"/>
      <c r="E3" s="124"/>
      <c r="F3" s="124"/>
      <c r="G3" s="1"/>
    </row>
    <row r="4" spans="1:7" ht="1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1" t="s">
        <v>208</v>
      </c>
      <c r="C9" s="132"/>
      <c r="D9" s="132"/>
      <c r="E9" s="132"/>
      <c r="F9" s="133"/>
      <c r="G9" s="1"/>
    </row>
    <row r="10" spans="1:7" x14ac:dyDescent="0.25">
      <c r="A10" s="1"/>
      <c r="B10" s="121" t="s">
        <v>100</v>
      </c>
      <c r="C10" s="122"/>
      <c r="D10" s="123"/>
      <c r="E10" s="7">
        <v>0</v>
      </c>
      <c r="F10" s="8" t="s">
        <v>3</v>
      </c>
      <c r="G10" s="1"/>
    </row>
    <row r="11" spans="1:7" x14ac:dyDescent="0.25">
      <c r="A11" s="1"/>
      <c r="B11" s="136" t="s">
        <v>209</v>
      </c>
      <c r="C11" s="137"/>
      <c r="D11" s="138"/>
      <c r="E11" s="7">
        <v>0</v>
      </c>
      <c r="F11" s="8" t="s">
        <v>3</v>
      </c>
      <c r="G11" s="1"/>
    </row>
    <row r="12" spans="1:7" x14ac:dyDescent="0.25">
      <c r="A12" s="1"/>
      <c r="B12" s="134" t="s">
        <v>101</v>
      </c>
      <c r="C12" s="135"/>
      <c r="D12" s="154"/>
      <c r="E12" s="10">
        <f>E11-E10</f>
        <v>0</v>
      </c>
      <c r="F12" s="11" t="s">
        <v>3</v>
      </c>
      <c r="G12" s="1"/>
    </row>
    <row r="13" spans="1:7" x14ac:dyDescent="0.25">
      <c r="A13" s="1"/>
      <c r="B13" s="131" t="s">
        <v>94</v>
      </c>
      <c r="C13" s="132"/>
      <c r="D13" s="132"/>
      <c r="E13" s="132"/>
      <c r="F13" s="133"/>
      <c r="G13" s="1"/>
    </row>
    <row r="14" spans="1:7" x14ac:dyDescent="0.25">
      <c r="A14" s="1"/>
      <c r="B14" s="136" t="s">
        <v>210</v>
      </c>
      <c r="C14" s="137"/>
      <c r="D14" s="138"/>
      <c r="E14" s="9">
        <v>0</v>
      </c>
      <c r="F14" s="8" t="s">
        <v>3</v>
      </c>
      <c r="G14" s="1"/>
    </row>
    <row r="15" spans="1:7" x14ac:dyDescent="0.25">
      <c r="A15" s="1"/>
      <c r="B15" s="121" t="s">
        <v>211</v>
      </c>
      <c r="C15" s="122"/>
      <c r="D15" s="123"/>
      <c r="E15" s="9">
        <v>0</v>
      </c>
      <c r="F15" s="8" t="s">
        <v>3</v>
      </c>
      <c r="G15" s="1"/>
    </row>
    <row r="16" spans="1:7" x14ac:dyDescent="0.25">
      <c r="A16" s="1"/>
      <c r="B16" s="134" t="s">
        <v>101</v>
      </c>
      <c r="C16" s="135"/>
      <c r="D16" s="154"/>
      <c r="E16" s="10">
        <f>E15-E14</f>
        <v>0</v>
      </c>
      <c r="F16" s="11" t="s">
        <v>3</v>
      </c>
      <c r="G16" s="1"/>
    </row>
    <row r="17" spans="1:7" x14ac:dyDescent="0.25">
      <c r="A17" s="1"/>
      <c r="B17" s="32" t="s">
        <v>212</v>
      </c>
      <c r="C17" s="27"/>
      <c r="D17" s="27"/>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30yUplg3pTTtEOPQDTLiBEbNVw1NLW3TiX9YDhHII3t4jE14tjkqtqYSUxf4lGutosk1qLueEgRQOL3P1YHmcQ==" saltValue="5K34awK4pPaslJhOQFP7ZQ=="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50"/>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9" t="s">
        <v>255</v>
      </c>
      <c r="C3" s="119"/>
      <c r="D3" s="119"/>
      <c r="E3" s="119"/>
      <c r="F3" s="119"/>
      <c r="G3" s="119"/>
      <c r="H3" s="119"/>
      <c r="I3" s="119"/>
      <c r="J3" s="119"/>
      <c r="K3" s="119"/>
      <c r="L3" s="1"/>
    </row>
    <row r="4" spans="1:12" ht="15" customHeight="1" x14ac:dyDescent="0.25">
      <c r="A4" s="1"/>
      <c r="B4" s="119"/>
      <c r="C4" s="119"/>
      <c r="D4" s="119"/>
      <c r="E4" s="119"/>
      <c r="F4" s="119"/>
      <c r="G4" s="119"/>
      <c r="H4" s="119"/>
      <c r="I4" s="119"/>
      <c r="J4" s="119"/>
      <c r="K4" s="11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1" t="s">
        <v>219</v>
      </c>
      <c r="C8" s="132"/>
      <c r="D8" s="132"/>
      <c r="E8" s="132"/>
      <c r="F8" s="132"/>
      <c r="G8" s="132"/>
      <c r="H8" s="132"/>
      <c r="I8" s="132"/>
      <c r="J8" s="132"/>
      <c r="K8" s="133"/>
      <c r="L8" s="1"/>
    </row>
    <row r="9" spans="1:12" ht="39.75" customHeight="1" x14ac:dyDescent="0.25">
      <c r="A9" s="1"/>
      <c r="B9" s="18" t="s">
        <v>0</v>
      </c>
      <c r="C9" s="18" t="s">
        <v>1</v>
      </c>
      <c r="D9" s="161" t="s">
        <v>245</v>
      </c>
      <c r="E9" s="162"/>
      <c r="F9" s="161" t="s">
        <v>2</v>
      </c>
      <c r="G9" s="162"/>
      <c r="H9" s="161" t="s">
        <v>244</v>
      </c>
      <c r="I9" s="162"/>
      <c r="J9" s="161" t="s">
        <v>30</v>
      </c>
      <c r="K9" s="162"/>
      <c r="L9" s="1"/>
    </row>
    <row r="10" spans="1:12" x14ac:dyDescent="0.25">
      <c r="A10" s="1"/>
      <c r="B10" s="97" t="s">
        <v>269</v>
      </c>
      <c r="C10" s="41">
        <v>60</v>
      </c>
      <c r="D10" s="9">
        <v>16216464</v>
      </c>
      <c r="E10" s="14" t="s">
        <v>3</v>
      </c>
      <c r="F10" s="9">
        <f>IFERROR(D10/C10,0)</f>
        <v>270274.40000000002</v>
      </c>
      <c r="G10" s="14" t="s">
        <v>3</v>
      </c>
      <c r="H10" s="44">
        <v>0</v>
      </c>
      <c r="I10" s="14" t="s">
        <v>3</v>
      </c>
      <c r="J10" s="44">
        <v>0</v>
      </c>
      <c r="K10" s="14" t="s">
        <v>3</v>
      </c>
      <c r="L10" s="1"/>
    </row>
    <row r="11" spans="1:12" x14ac:dyDescent="0.25">
      <c r="A11" s="1"/>
      <c r="B11" s="97" t="s">
        <v>270</v>
      </c>
      <c r="C11" s="41">
        <v>20</v>
      </c>
      <c r="D11" s="9">
        <v>10319568</v>
      </c>
      <c r="E11" s="14" t="s">
        <v>3</v>
      </c>
      <c r="F11" s="9">
        <f t="shared" ref="F11:F12" si="0">IFERROR(D11/C11,0)</f>
        <v>515978.4</v>
      </c>
      <c r="G11" s="14" t="s">
        <v>3</v>
      </c>
      <c r="H11" s="44">
        <v>0</v>
      </c>
      <c r="I11" s="14" t="s">
        <v>3</v>
      </c>
      <c r="J11" s="44">
        <v>0</v>
      </c>
      <c r="K11" s="14" t="s">
        <v>3</v>
      </c>
      <c r="L11" s="1"/>
    </row>
    <row r="12" spans="1:12" x14ac:dyDescent="0.25">
      <c r="A12" s="1"/>
      <c r="B12" s="97" t="s">
        <v>271</v>
      </c>
      <c r="C12" s="41">
        <v>10</v>
      </c>
      <c r="D12" s="9">
        <v>2948448</v>
      </c>
      <c r="E12" s="14" t="s">
        <v>3</v>
      </c>
      <c r="F12" s="9">
        <f t="shared" si="0"/>
        <v>294844.79999999999</v>
      </c>
      <c r="G12" s="14" t="s">
        <v>3</v>
      </c>
      <c r="H12" s="44">
        <v>0</v>
      </c>
      <c r="I12" s="14" t="s">
        <v>3</v>
      </c>
      <c r="J12" s="44">
        <v>0</v>
      </c>
      <c r="K12" s="14" t="s">
        <v>3</v>
      </c>
      <c r="L12" s="1"/>
    </row>
    <row r="13" spans="1:12" x14ac:dyDescent="0.25">
      <c r="A13" s="1"/>
      <c r="B13" s="86" t="s">
        <v>220</v>
      </c>
      <c r="C13" s="87"/>
      <c r="D13" s="88"/>
      <c r="E13" s="88"/>
      <c r="F13" s="12">
        <f>SUM(F10:F12)</f>
        <v>1081097.6000000001</v>
      </c>
      <c r="G13" s="12" t="s">
        <v>243</v>
      </c>
      <c r="H13" s="12">
        <f>SUM(H10:H12)</f>
        <v>0</v>
      </c>
      <c r="I13" s="12" t="s">
        <v>243</v>
      </c>
      <c r="J13" s="12">
        <f>SUM(J10:J12)</f>
        <v>0</v>
      </c>
      <c r="K13" s="13" t="s">
        <v>3</v>
      </c>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row r="48" spans="1:12" x14ac:dyDescent="0.25">
      <c r="A48" s="1"/>
      <c r="B48" s="1"/>
      <c r="C48" s="1"/>
      <c r="D48" s="1"/>
      <c r="E48" s="1"/>
      <c r="F48" s="1"/>
      <c r="G48" s="1"/>
      <c r="H48" s="1"/>
      <c r="I48" s="1"/>
      <c r="J48" s="1"/>
      <c r="K48" s="1"/>
      <c r="L48" s="1"/>
    </row>
    <row r="49" spans="1:12" x14ac:dyDescent="0.25">
      <c r="A49" s="49"/>
      <c r="L49" s="49"/>
    </row>
    <row r="50" spans="1:12" x14ac:dyDescent="0.25">
      <c r="A50" s="49"/>
      <c r="L50" s="49"/>
    </row>
  </sheetData>
  <sheetProtection algorithmName="SHA-512" hashValue="0m6UbpBF/e22plMA2OvEbD6QM9oozRoy4CSnyXs4JK7tO9Z7q7Y4eWVVfF6YZiJV3J/dGM771pr1eruPYq/xPg==" saltValue="b/Z2jkIX2wt9wxYEooEbW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256</v>
      </c>
      <c r="C3" s="119"/>
      <c r="D3" s="119"/>
      <c r="E3" s="119"/>
      <c r="F3" s="119"/>
      <c r="G3" s="1"/>
    </row>
    <row r="4" spans="1:7" ht="1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80</v>
      </c>
      <c r="C8" s="27"/>
      <c r="D8" s="27"/>
      <c r="E8" s="27"/>
      <c r="F8" s="19"/>
      <c r="G8" s="1"/>
    </row>
    <row r="9" spans="1:7" ht="17.25" customHeight="1" x14ac:dyDescent="0.25">
      <c r="A9" s="1"/>
      <c r="B9" s="84" t="s">
        <v>17</v>
      </c>
      <c r="C9" s="84" t="s">
        <v>11</v>
      </c>
      <c r="D9" s="85"/>
      <c r="E9" s="84" t="s">
        <v>31</v>
      </c>
      <c r="F9" s="31"/>
      <c r="G9" s="1"/>
    </row>
    <row r="10" spans="1:7" x14ac:dyDescent="0.25">
      <c r="A10" s="1"/>
      <c r="B10" s="23" t="s">
        <v>226</v>
      </c>
      <c r="C10" s="21">
        <f>'Fane 10. Anlægsprojekter (§ 19)'!H13</f>
        <v>0</v>
      </c>
      <c r="D10" s="14" t="s">
        <v>3</v>
      </c>
      <c r="E10" s="9">
        <f>'Fane 10. Anlægsprojekter (§ 19)'!F13+'Fane 10. Anlægsprojekter (§ 19)'!J13</f>
        <v>1081097.6000000001</v>
      </c>
      <c r="F10" s="14" t="s">
        <v>3</v>
      </c>
      <c r="G10" s="1"/>
    </row>
    <row r="11" spans="1:7" x14ac:dyDescent="0.25">
      <c r="A11" s="1"/>
      <c r="B11" s="23" t="s">
        <v>287</v>
      </c>
      <c r="C11" s="21">
        <v>175215</v>
      </c>
      <c r="D11" s="14" t="s">
        <v>3</v>
      </c>
      <c r="E11" s="9">
        <f>260130+88065</f>
        <v>348195</v>
      </c>
      <c r="F11" s="14" t="s">
        <v>3</v>
      </c>
      <c r="G11" s="1"/>
    </row>
    <row r="12" spans="1:7" x14ac:dyDescent="0.25">
      <c r="A12" s="1"/>
      <c r="B12" s="23" t="s">
        <v>272</v>
      </c>
      <c r="C12" s="21">
        <v>71537</v>
      </c>
      <c r="D12" s="14" t="s">
        <v>3</v>
      </c>
      <c r="E12" s="9">
        <v>0</v>
      </c>
      <c r="F12" s="14" t="s">
        <v>3</v>
      </c>
      <c r="G12" s="1"/>
    </row>
    <row r="13" spans="1:7" x14ac:dyDescent="0.25">
      <c r="A13" s="1"/>
      <c r="B13" s="23" t="s">
        <v>291</v>
      </c>
      <c r="C13" s="21">
        <v>43112</v>
      </c>
      <c r="D13" s="14" t="s">
        <v>3</v>
      </c>
      <c r="E13" s="9">
        <f>383005+88065</f>
        <v>471070</v>
      </c>
      <c r="F13" s="14" t="s">
        <v>3</v>
      </c>
      <c r="G13" s="1"/>
    </row>
    <row r="14" spans="1:7" x14ac:dyDescent="0.25">
      <c r="A14" s="1"/>
      <c r="B14" s="32" t="s">
        <v>156</v>
      </c>
      <c r="C14" s="12">
        <f>SUM(C10:C13)</f>
        <v>289864</v>
      </c>
      <c r="D14" s="13" t="s">
        <v>3</v>
      </c>
      <c r="E14" s="12">
        <f>SUM(E10:E13)</f>
        <v>1900362.6</v>
      </c>
      <c r="F14" s="13" t="s">
        <v>3</v>
      </c>
      <c r="G14" s="1"/>
    </row>
    <row r="15" spans="1:7" x14ac:dyDescent="0.25">
      <c r="A15" s="1"/>
      <c r="B15" s="32" t="s">
        <v>213</v>
      </c>
      <c r="C15" s="12">
        <f>C14*(1+'Fane 15. Nøgletal'!C15)</f>
        <v>300183.15840000001</v>
      </c>
      <c r="D15" s="13" t="s">
        <v>3</v>
      </c>
      <c r="E15" s="12">
        <f>E14*(1+'Fane 15. Nøgletal'!C15)</f>
        <v>1968015.5085600002</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a8mmuK618BYn5QbdHixeljVwmrU7CqdTNqMRGSImXct60icwRieiutgqRxYeZ4GweNFvUjlUW9589qL8ekL8mw==" saltValue="DPoycNkQc9Yj0ogD2Uunx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257</v>
      </c>
      <c r="C3" s="119"/>
      <c r="D3" s="119"/>
      <c r="E3" s="119"/>
      <c r="F3" s="119"/>
      <c r="G3" s="1"/>
    </row>
    <row r="4" spans="1:7" ht="1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1" t="s">
        <v>97</v>
      </c>
      <c r="C8" s="132"/>
      <c r="D8" s="132"/>
      <c r="E8" s="132"/>
      <c r="F8" s="133"/>
      <c r="G8" s="1"/>
    </row>
    <row r="9" spans="1:7" x14ac:dyDescent="0.25">
      <c r="A9" s="1"/>
      <c r="B9" s="84" t="s">
        <v>17</v>
      </c>
      <c r="C9" s="84" t="s">
        <v>11</v>
      </c>
      <c r="D9" s="85"/>
      <c r="E9" s="84" t="s">
        <v>31</v>
      </c>
      <c r="F9" s="31"/>
      <c r="G9" s="1"/>
    </row>
    <row r="10" spans="1:7" x14ac:dyDescent="0.25">
      <c r="A10" s="1"/>
      <c r="B10" s="23" t="s">
        <v>272</v>
      </c>
      <c r="C10" s="21">
        <v>1073057</v>
      </c>
      <c r="D10" s="14" t="s">
        <v>3</v>
      </c>
      <c r="E10" s="9">
        <v>0</v>
      </c>
      <c r="F10" s="14" t="s">
        <v>3</v>
      </c>
      <c r="G10" s="1"/>
    </row>
    <row r="11" spans="1:7" x14ac:dyDescent="0.25">
      <c r="A11" s="1"/>
      <c r="B11" s="32" t="s">
        <v>232</v>
      </c>
      <c r="C11" s="12">
        <f>SUM(C10:C10)</f>
        <v>1073057</v>
      </c>
      <c r="D11" s="13" t="s">
        <v>3</v>
      </c>
      <c r="E11" s="12">
        <f>SUM(E10:E10)</f>
        <v>0</v>
      </c>
      <c r="F11" s="13" t="s">
        <v>3</v>
      </c>
      <c r="G11" s="1"/>
    </row>
    <row r="12" spans="1:7" x14ac:dyDescent="0.25">
      <c r="A12" s="1"/>
      <c r="B12" s="32" t="s">
        <v>136</v>
      </c>
      <c r="C12" s="12">
        <f>C11*(1+'Fane 15. Nøgletal'!C15)^2</f>
        <v>1150818.60791952</v>
      </c>
      <c r="D12" s="13" t="s">
        <v>3</v>
      </c>
      <c r="E12" s="12">
        <f>E11*(1+'Fane 15. Nøgletal'!C15)^2</f>
        <v>0</v>
      </c>
      <c r="F12" s="13" t="s">
        <v>3</v>
      </c>
      <c r="G12" s="1"/>
    </row>
    <row r="13" spans="1:7" x14ac:dyDescent="0.25">
      <c r="A13" s="1"/>
      <c r="B13" s="1"/>
      <c r="C13" s="1"/>
      <c r="D13" s="1"/>
      <c r="E13" s="1"/>
      <c r="F13" s="1"/>
      <c r="G13" s="1"/>
    </row>
    <row r="14" spans="1:7" x14ac:dyDescent="0.25">
      <c r="A14" s="1"/>
      <c r="B14" s="163"/>
      <c r="C14" s="163"/>
      <c r="D14" s="163"/>
      <c r="E14" s="163"/>
      <c r="F14" s="163"/>
      <c r="G14" s="1"/>
    </row>
    <row r="15" spans="1:7" x14ac:dyDescent="0.25">
      <c r="A15" s="1"/>
      <c r="B15" s="60"/>
      <c r="C15" s="60"/>
      <c r="D15" s="60"/>
      <c r="E15" s="60"/>
      <c r="F15" s="61"/>
      <c r="G15" s="1"/>
    </row>
    <row r="16" spans="1:7" x14ac:dyDescent="0.25">
      <c r="A16" s="1"/>
      <c r="B16" s="62"/>
      <c r="C16" s="63"/>
      <c r="D16" s="64"/>
      <c r="E16" s="65"/>
      <c r="F16" s="64"/>
      <c r="G16" s="1"/>
    </row>
    <row r="17" spans="1:7" x14ac:dyDescent="0.25">
      <c r="A17" s="1"/>
      <c r="B17" s="62"/>
      <c r="C17" s="63"/>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3"/>
      <c r="C21" s="163"/>
      <c r="D21" s="163"/>
      <c r="E21" s="163"/>
      <c r="F21" s="163"/>
      <c r="G21" s="1"/>
    </row>
    <row r="22" spans="1:7" x14ac:dyDescent="0.25">
      <c r="A22" s="1"/>
      <c r="B22" s="60"/>
      <c r="C22" s="60"/>
      <c r="D22" s="60"/>
      <c r="E22" s="60"/>
      <c r="F22" s="61"/>
      <c r="G22" s="1"/>
    </row>
    <row r="23" spans="1:7" x14ac:dyDescent="0.25">
      <c r="A23" s="1"/>
      <c r="B23" s="62"/>
      <c r="C23" s="63"/>
      <c r="D23" s="64"/>
      <c r="E23" s="65"/>
      <c r="F23" s="64"/>
      <c r="G23" s="1"/>
    </row>
    <row r="24" spans="1:7" x14ac:dyDescent="0.25">
      <c r="A24" s="1"/>
      <c r="B24" s="62"/>
      <c r="C24" s="63"/>
      <c r="D24" s="64"/>
      <c r="E24" s="65"/>
      <c r="F24" s="64"/>
      <c r="G24" s="1"/>
    </row>
    <row r="25" spans="1:7" x14ac:dyDescent="0.25">
      <c r="A25" s="1"/>
      <c r="B25" s="66"/>
      <c r="C25" s="67"/>
      <c r="D25" s="68"/>
      <c r="E25" s="67"/>
      <c r="F25" s="68"/>
      <c r="G25" s="1"/>
    </row>
    <row r="26" spans="1:7" x14ac:dyDescent="0.25">
      <c r="A26" s="1"/>
      <c r="B26" s="66"/>
      <c r="C26" s="67"/>
      <c r="D26" s="68"/>
      <c r="E26" s="67"/>
      <c r="F26" s="68"/>
      <c r="G26" s="1"/>
    </row>
    <row r="27" spans="1:7" x14ac:dyDescent="0.25">
      <c r="A27" s="1"/>
      <c r="B27" s="59"/>
      <c r="C27" s="59"/>
      <c r="D27" s="59"/>
      <c r="E27" s="59"/>
      <c r="F27" s="59"/>
      <c r="G27" s="1"/>
    </row>
    <row r="28" spans="1:7" x14ac:dyDescent="0.25">
      <c r="A28" s="1"/>
      <c r="B28" s="163"/>
      <c r="C28" s="163"/>
      <c r="D28" s="163"/>
      <c r="E28" s="163"/>
      <c r="F28" s="163"/>
      <c r="G28" s="1"/>
    </row>
    <row r="29" spans="1:7" x14ac:dyDescent="0.25">
      <c r="A29" s="1"/>
      <c r="B29" s="60"/>
      <c r="C29" s="60"/>
      <c r="D29" s="60"/>
      <c r="E29" s="60"/>
      <c r="F29" s="61"/>
      <c r="G29" s="1"/>
    </row>
    <row r="30" spans="1:7" x14ac:dyDescent="0.25">
      <c r="A30" s="1"/>
      <c r="B30" s="62"/>
      <c r="C30" s="63"/>
      <c r="D30" s="64"/>
      <c r="E30" s="65"/>
      <c r="F30" s="64"/>
      <c r="G30" s="1"/>
    </row>
    <row r="31" spans="1:7" x14ac:dyDescent="0.25">
      <c r="A31" s="1"/>
      <c r="B31" s="62"/>
      <c r="C31" s="63"/>
      <c r="D31" s="64"/>
      <c r="E31" s="65"/>
      <c r="F31" s="64"/>
      <c r="G31" s="1"/>
    </row>
    <row r="32" spans="1:7" x14ac:dyDescent="0.25">
      <c r="A32" s="1"/>
      <c r="B32" s="66"/>
      <c r="C32" s="67"/>
      <c r="D32" s="68"/>
      <c r="E32" s="67"/>
      <c r="F32" s="68"/>
      <c r="G32" s="1"/>
    </row>
    <row r="33" spans="1:7" x14ac:dyDescent="0.25">
      <c r="A33" s="1"/>
      <c r="B33" s="66"/>
      <c r="C33" s="67"/>
      <c r="D33" s="68"/>
      <c r="E33" s="67"/>
      <c r="F33" s="6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WDwOhonpUzwGWTGghpxwEfQY8v95lP+qKTNM6/Qilh1+H4PSRGCVxmRb8/oZ8CPv+ca0gX6rluY5Vc+pP+6jew==" saltValue="YuDxmChPBm+DFQsE4fdm/Q=="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258</v>
      </c>
      <c r="C3" s="124"/>
      <c r="D3" s="124"/>
      <c r="E3" s="124"/>
      <c r="F3" s="124"/>
      <c r="G3" s="1"/>
    </row>
    <row r="4" spans="1:7" ht="15" customHeight="1" x14ac:dyDescent="0.25">
      <c r="A4" s="1"/>
      <c r="B4" s="124"/>
      <c r="C4" s="124"/>
      <c r="D4" s="124"/>
      <c r="E4" s="124"/>
      <c r="F4" s="124"/>
      <c r="G4" s="1"/>
    </row>
    <row r="5" spans="1:7" x14ac:dyDescent="0.25">
      <c r="A5" s="1"/>
      <c r="B5" s="124"/>
      <c r="C5" s="124"/>
      <c r="D5" s="124"/>
      <c r="E5" s="124"/>
      <c r="F5" s="124"/>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31" t="s">
        <v>91</v>
      </c>
      <c r="C9" s="132"/>
      <c r="D9" s="132"/>
      <c r="E9" s="132"/>
      <c r="F9" s="133"/>
      <c r="G9" s="1"/>
    </row>
    <row r="10" spans="1:7" x14ac:dyDescent="0.25">
      <c r="A10" s="1"/>
      <c r="B10" s="158" t="s">
        <v>224</v>
      </c>
      <c r="C10" s="159"/>
      <c r="D10" s="160"/>
      <c r="E10" s="9">
        <v>0</v>
      </c>
      <c r="F10" s="14" t="s">
        <v>3</v>
      </c>
      <c r="G10" s="1"/>
    </row>
    <row r="11" spans="1:7" x14ac:dyDescent="0.25">
      <c r="A11" s="1"/>
      <c r="B11" s="125" t="s">
        <v>10</v>
      </c>
      <c r="C11" s="126"/>
      <c r="D11" s="127"/>
      <c r="E11" s="9">
        <f>-E10*'Fane 5. Individuelt eff. krav'!G9</f>
        <v>0</v>
      </c>
      <c r="F11" s="14" t="s">
        <v>3</v>
      </c>
      <c r="G11" s="1"/>
    </row>
    <row r="12" spans="1:7" x14ac:dyDescent="0.25">
      <c r="A12" s="1"/>
      <c r="B12" s="125" t="s">
        <v>24</v>
      </c>
      <c r="C12" s="126"/>
      <c r="D12" s="127"/>
      <c r="E12" s="9">
        <f>-E10*'Fane 15. Nøgletal'!C31</f>
        <v>0</v>
      </c>
      <c r="F12" s="14" t="s">
        <v>3</v>
      </c>
      <c r="G12" s="1"/>
    </row>
    <row r="13" spans="1:7" x14ac:dyDescent="0.25">
      <c r="A13" s="1"/>
      <c r="B13" s="131" t="s">
        <v>92</v>
      </c>
      <c r="C13" s="132"/>
      <c r="D13" s="133"/>
      <c r="E13" s="12">
        <f>SUM(E10:E12)*(1+'Fane 15. Nøgletal'!C15)^2</f>
        <v>0</v>
      </c>
      <c r="F13" s="13" t="s">
        <v>3</v>
      </c>
      <c r="G13" s="1"/>
    </row>
    <row r="14" spans="1:7" x14ac:dyDescent="0.25">
      <c r="A14" s="1"/>
      <c r="B14" s="1"/>
      <c r="C14" s="1"/>
      <c r="D14" s="1"/>
      <c r="E14" s="1"/>
      <c r="F14" s="1"/>
      <c r="G14" s="1"/>
    </row>
    <row r="15" spans="1:7" ht="15" customHeight="1" x14ac:dyDescent="0.25">
      <c r="A15" s="1"/>
      <c r="B15" s="131" t="s">
        <v>130</v>
      </c>
      <c r="C15" s="132"/>
      <c r="D15" s="132"/>
      <c r="E15" s="132"/>
      <c r="F15" s="133"/>
      <c r="G15" s="1"/>
    </row>
    <row r="16" spans="1:7" x14ac:dyDescent="0.25">
      <c r="A16" s="1"/>
      <c r="B16" s="158" t="s">
        <v>224</v>
      </c>
      <c r="C16" s="159"/>
      <c r="D16" s="160"/>
      <c r="E16" s="9">
        <v>0</v>
      </c>
      <c r="F16" s="14" t="s">
        <v>3</v>
      </c>
      <c r="G16" s="1"/>
    </row>
    <row r="17" spans="1:7" x14ac:dyDescent="0.25">
      <c r="A17" s="1"/>
      <c r="B17" s="125" t="s">
        <v>10</v>
      </c>
      <c r="C17" s="126"/>
      <c r="D17" s="127"/>
      <c r="E17" s="9">
        <f>-E16*'Fane 5. Individuelt eff. krav'!G9</f>
        <v>0</v>
      </c>
      <c r="F17" s="14" t="s">
        <v>3</v>
      </c>
      <c r="G17" s="1"/>
    </row>
    <row r="18" spans="1:7" x14ac:dyDescent="0.25">
      <c r="A18" s="1"/>
      <c r="B18" s="125" t="s">
        <v>24</v>
      </c>
      <c r="C18" s="126"/>
      <c r="D18" s="127"/>
      <c r="E18" s="9">
        <f>-E16*'Fane 15. Nøgletal'!C31</f>
        <v>0</v>
      </c>
      <c r="F18" s="14" t="s">
        <v>3</v>
      </c>
      <c r="G18" s="1"/>
    </row>
    <row r="19" spans="1:7" x14ac:dyDescent="0.25">
      <c r="A19" s="1"/>
      <c r="B19" s="131" t="s">
        <v>131</v>
      </c>
      <c r="C19" s="132"/>
      <c r="D19" s="133"/>
      <c r="E19" s="12">
        <f>SUM(E16:E18)*(1+'Fane 15. Nøgletal'!C15)^3</f>
        <v>0</v>
      </c>
      <c r="F19" s="13" t="s">
        <v>3</v>
      </c>
      <c r="G19" s="1"/>
    </row>
    <row r="20" spans="1:7" x14ac:dyDescent="0.25">
      <c r="A20" s="1"/>
      <c r="B20" s="1"/>
      <c r="C20" s="1"/>
      <c r="D20" s="1"/>
      <c r="E20" s="1"/>
      <c r="F20" s="1"/>
      <c r="G20" s="1"/>
    </row>
    <row r="21" spans="1:7" ht="15" customHeight="1" x14ac:dyDescent="0.25">
      <c r="A21" s="1"/>
      <c r="B21" s="131" t="s">
        <v>157</v>
      </c>
      <c r="C21" s="132"/>
      <c r="D21" s="132"/>
      <c r="E21" s="132"/>
      <c r="F21" s="133"/>
      <c r="G21" s="1"/>
    </row>
    <row r="22" spans="1:7" x14ac:dyDescent="0.25">
      <c r="A22" s="1"/>
      <c r="B22" s="158" t="s">
        <v>224</v>
      </c>
      <c r="C22" s="159"/>
      <c r="D22" s="160"/>
      <c r="E22" s="9">
        <v>0</v>
      </c>
      <c r="F22" s="14" t="s">
        <v>3</v>
      </c>
      <c r="G22" s="1"/>
    </row>
    <row r="23" spans="1:7" x14ac:dyDescent="0.25">
      <c r="A23" s="1"/>
      <c r="B23" s="125" t="s">
        <v>10</v>
      </c>
      <c r="C23" s="126"/>
      <c r="D23" s="127"/>
      <c r="E23" s="9">
        <f>-E22*'Fane 5. Individuelt eff. krav'!G9</f>
        <v>0</v>
      </c>
      <c r="F23" s="14" t="s">
        <v>3</v>
      </c>
      <c r="G23" s="1"/>
    </row>
    <row r="24" spans="1:7" x14ac:dyDescent="0.25">
      <c r="A24" s="1"/>
      <c r="B24" s="125" t="s">
        <v>24</v>
      </c>
      <c r="C24" s="126"/>
      <c r="D24" s="127"/>
      <c r="E24" s="9">
        <f>-E22*'Fane 15. Nøgletal'!C31</f>
        <v>0</v>
      </c>
      <c r="F24" s="14" t="s">
        <v>3</v>
      </c>
      <c r="G24" s="1"/>
    </row>
    <row r="25" spans="1:7" x14ac:dyDescent="0.25">
      <c r="A25" s="1"/>
      <c r="B25" s="131" t="s">
        <v>158</v>
      </c>
      <c r="C25" s="132"/>
      <c r="D25" s="133"/>
      <c r="E25" s="12">
        <f>SUM(E22:E24)*(1+'Fane 15. Nøgletal'!C15)^4</f>
        <v>0</v>
      </c>
      <c r="F25" s="13" t="s">
        <v>3</v>
      </c>
      <c r="G25" s="1"/>
    </row>
    <row r="26" spans="1:7" x14ac:dyDescent="0.25">
      <c r="A26" s="1"/>
      <c r="B26" s="1"/>
      <c r="C26" s="1"/>
      <c r="D26" s="1"/>
      <c r="E26" s="1"/>
      <c r="F26" s="1"/>
      <c r="G26" s="1"/>
    </row>
    <row r="27" spans="1:7" ht="15" customHeight="1" x14ac:dyDescent="0.25">
      <c r="A27" s="1"/>
      <c r="B27" s="131" t="s">
        <v>214</v>
      </c>
      <c r="C27" s="132"/>
      <c r="D27" s="132"/>
      <c r="E27" s="132"/>
      <c r="F27" s="133"/>
      <c r="G27" s="1"/>
    </row>
    <row r="28" spans="1:7" ht="14.25" customHeight="1" x14ac:dyDescent="0.25">
      <c r="A28" s="1"/>
      <c r="B28" s="158" t="s">
        <v>224</v>
      </c>
      <c r="C28" s="159"/>
      <c r="D28" s="160"/>
      <c r="E28" s="9">
        <v>0</v>
      </c>
      <c r="F28" s="14" t="s">
        <v>3</v>
      </c>
      <c r="G28" s="1"/>
    </row>
    <row r="29" spans="1:7" x14ac:dyDescent="0.25">
      <c r="A29" s="1"/>
      <c r="B29" s="125" t="s">
        <v>10</v>
      </c>
      <c r="C29" s="126"/>
      <c r="D29" s="127"/>
      <c r="E29" s="9">
        <f>-E28*'Fane 5. Individuelt eff. krav'!G9</f>
        <v>0</v>
      </c>
      <c r="F29" s="14" t="s">
        <v>3</v>
      </c>
      <c r="G29" s="1"/>
    </row>
    <row r="30" spans="1:7" x14ac:dyDescent="0.25">
      <c r="A30" s="1"/>
      <c r="B30" s="125" t="s">
        <v>24</v>
      </c>
      <c r="C30" s="126"/>
      <c r="D30" s="127"/>
      <c r="E30" s="9">
        <f>-E28*'Fane 15. Nøgletal'!C31</f>
        <v>0</v>
      </c>
      <c r="F30" s="14" t="s">
        <v>3</v>
      </c>
      <c r="G30" s="1"/>
    </row>
    <row r="31" spans="1:7" x14ac:dyDescent="0.25">
      <c r="A31" s="1"/>
      <c r="B31" s="131" t="s">
        <v>215</v>
      </c>
      <c r="C31" s="132"/>
      <c r="D31" s="133"/>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U1Wcrt5z3TQILtlKbg2qMMYWnNrjB3z0v4KupKg0Zqb5MqBMd3JWNkPkC6JVKLFQ5Ml5VkIbMKNCBPQSI249ww==" saltValue="A/jiVne+jXtHYB5Ru/vMYA==" spinCount="100000" sheet="1" objects="1" scenarios="1"/>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259</v>
      </c>
      <c r="C3" s="124"/>
      <c r="D3" s="124"/>
      <c r="E3" s="124"/>
      <c r="F3" s="124"/>
      <c r="G3" s="1"/>
    </row>
    <row r="4" spans="1:7" ht="25.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1" t="s">
        <v>132</v>
      </c>
      <c r="C8" s="132"/>
      <c r="D8" s="132"/>
      <c r="E8" s="132"/>
      <c r="F8" s="133"/>
      <c r="G8" s="1"/>
    </row>
    <row r="9" spans="1:7" ht="15" customHeight="1" x14ac:dyDescent="0.25">
      <c r="A9" s="1"/>
      <c r="B9" s="30" t="s">
        <v>133</v>
      </c>
      <c r="C9" s="30" t="s">
        <v>11</v>
      </c>
      <c r="D9" s="31"/>
      <c r="E9" s="30" t="s">
        <v>31</v>
      </c>
      <c r="F9" s="31"/>
      <c r="G9" s="1"/>
    </row>
    <row r="10" spans="1:7" x14ac:dyDescent="0.25">
      <c r="A10" s="1"/>
      <c r="B10" s="23" t="s">
        <v>274</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akSJgjMImQrOsgxS5DDTBn93HfS4hEbkFPnQa8aoO6LbEbHgOSKPiz8Ls0wE3m8VeQijj3lOf4/jGaE96rM9fA==" saltValue="TDVO2fltqvNHiUAmo5Dhog=="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260</v>
      </c>
      <c r="C3" s="124"/>
      <c r="D3" s="124"/>
      <c r="E3" s="124"/>
      <c r="F3" s="124"/>
      <c r="G3" s="1"/>
    </row>
    <row r="4" spans="1:7" ht="25.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1" t="s">
        <v>93</v>
      </c>
      <c r="C9" s="132"/>
      <c r="D9" s="132"/>
      <c r="E9" s="132"/>
      <c r="F9" s="133"/>
      <c r="G9" s="1"/>
    </row>
    <row r="10" spans="1:7" ht="26.25" x14ac:dyDescent="0.25">
      <c r="A10" s="1"/>
      <c r="B10" s="30" t="s">
        <v>18</v>
      </c>
      <c r="C10" s="30" t="s">
        <v>11</v>
      </c>
      <c r="D10" s="31"/>
      <c r="E10" s="30" t="s">
        <v>31</v>
      </c>
      <c r="F10" s="31"/>
      <c r="G10" s="1"/>
    </row>
    <row r="11" spans="1:7" x14ac:dyDescent="0.25">
      <c r="A11" s="1"/>
      <c r="B11" s="23" t="s">
        <v>177</v>
      </c>
      <c r="C11" s="9">
        <v>0</v>
      </c>
      <c r="D11" s="14" t="s">
        <v>3</v>
      </c>
      <c r="E11" s="9">
        <v>0</v>
      </c>
      <c r="F11" s="14" t="s">
        <v>3</v>
      </c>
      <c r="G11" s="1"/>
    </row>
    <row r="12" spans="1:7" x14ac:dyDescent="0.25">
      <c r="A12" s="1"/>
      <c r="B12" s="32" t="s">
        <v>234</v>
      </c>
      <c r="C12" s="12">
        <f>SUM(C11:C11)</f>
        <v>0</v>
      </c>
      <c r="D12" s="13" t="s">
        <v>3</v>
      </c>
      <c r="E12" s="12">
        <f>SUM(E11:E11)</f>
        <v>0</v>
      </c>
      <c r="F12" s="13" t="s">
        <v>3</v>
      </c>
      <c r="G12" s="1"/>
    </row>
    <row r="13" spans="1:7" x14ac:dyDescent="0.25">
      <c r="A13" s="1"/>
      <c r="B13" s="32"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3"/>
      <c r="C15" s="163"/>
      <c r="D15" s="163"/>
      <c r="E15" s="163"/>
      <c r="F15" s="163"/>
      <c r="G15" s="1"/>
    </row>
    <row r="16" spans="1:7" x14ac:dyDescent="0.25">
      <c r="A16" s="1"/>
      <c r="B16" s="61"/>
      <c r="C16" s="61"/>
      <c r="D16" s="61"/>
      <c r="E16" s="61"/>
      <c r="F16" s="61"/>
      <c r="G16" s="1"/>
    </row>
    <row r="17" spans="1:7" x14ac:dyDescent="0.25">
      <c r="A17" s="1"/>
      <c r="B17" s="62"/>
      <c r="C17" s="65"/>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3"/>
      <c r="C21" s="163"/>
      <c r="D21" s="163"/>
      <c r="E21" s="163"/>
      <c r="F21" s="163"/>
      <c r="G21" s="1"/>
    </row>
    <row r="22" spans="1:7" x14ac:dyDescent="0.25">
      <c r="A22" s="1"/>
      <c r="B22" s="61"/>
      <c r="C22" s="61"/>
      <c r="D22" s="61"/>
      <c r="E22" s="61"/>
      <c r="F22" s="61"/>
      <c r="G22" s="1"/>
    </row>
    <row r="23" spans="1:7" x14ac:dyDescent="0.25">
      <c r="A23" s="1"/>
      <c r="B23" s="62"/>
      <c r="C23" s="65"/>
      <c r="D23" s="64"/>
      <c r="E23" s="65"/>
      <c r="F23" s="64"/>
      <c r="G23" s="1"/>
    </row>
    <row r="24" spans="1:7" x14ac:dyDescent="0.25">
      <c r="A24" s="1"/>
      <c r="B24" s="66"/>
      <c r="C24" s="67"/>
      <c r="D24" s="68"/>
      <c r="E24" s="67"/>
      <c r="F24" s="68"/>
      <c r="G24" s="1"/>
    </row>
    <row r="25" spans="1:7" x14ac:dyDescent="0.25">
      <c r="A25" s="1"/>
      <c r="B25" s="66"/>
      <c r="C25" s="67"/>
      <c r="D25" s="68"/>
      <c r="E25" s="67"/>
      <c r="F25" s="68"/>
      <c r="G25" s="1"/>
    </row>
    <row r="26" spans="1:7" x14ac:dyDescent="0.25">
      <c r="A26" s="1"/>
      <c r="B26" s="59"/>
      <c r="C26" s="59"/>
      <c r="D26" s="59"/>
      <c r="E26" s="59"/>
      <c r="F26" s="59"/>
      <c r="G26" s="1"/>
    </row>
    <row r="27" spans="1:7" x14ac:dyDescent="0.25">
      <c r="A27" s="1"/>
      <c r="B27" s="163"/>
      <c r="C27" s="163"/>
      <c r="D27" s="163"/>
      <c r="E27" s="163"/>
      <c r="F27" s="163"/>
      <c r="G27" s="1"/>
    </row>
    <row r="28" spans="1:7" x14ac:dyDescent="0.25">
      <c r="A28" s="1"/>
      <c r="B28" s="61"/>
      <c r="C28" s="61"/>
      <c r="D28" s="61"/>
      <c r="E28" s="61"/>
      <c r="F28" s="61"/>
      <c r="G28" s="1"/>
    </row>
    <row r="29" spans="1:7" x14ac:dyDescent="0.25">
      <c r="A29" s="1"/>
      <c r="B29" s="62"/>
      <c r="C29" s="65"/>
      <c r="D29" s="64"/>
      <c r="E29" s="65"/>
      <c r="F29" s="64"/>
      <c r="G29" s="1"/>
    </row>
    <row r="30" spans="1:7" x14ac:dyDescent="0.25">
      <c r="A30" s="1"/>
      <c r="B30" s="66"/>
      <c r="C30" s="67"/>
      <c r="D30" s="68"/>
      <c r="E30" s="67"/>
      <c r="F30" s="68"/>
      <c r="G30" s="1"/>
    </row>
    <row r="31" spans="1:7" x14ac:dyDescent="0.25">
      <c r="A31" s="1"/>
      <c r="B31" s="66"/>
      <c r="C31" s="67"/>
      <c r="D31" s="68"/>
      <c r="E31" s="67"/>
      <c r="F31" s="6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xNVN5WFO8CmmI5vYdmNptscXwcuMymSrfVLqQZf/f4g4780EDZjra3ykwVnRRjqOlbe8QcDQk8soJRJkQAuuDA==" saltValue="LZlBW5vvH3Y2CWccUq9VJA=="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6"/>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181</v>
      </c>
      <c r="C3" s="119"/>
      <c r="D3" s="119"/>
      <c r="E3" s="1"/>
    </row>
    <row r="4" spans="1:5" ht="15" customHeight="1" x14ac:dyDescent="0.25">
      <c r="A4" s="1"/>
      <c r="B4" s="119"/>
      <c r="C4" s="119"/>
      <c r="D4" s="119"/>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x14ac:dyDescent="0.25">
      <c r="A9" s="1"/>
      <c r="B9" s="28" t="s">
        <v>126</v>
      </c>
      <c r="C9" s="7">
        <f>'Fane 3. Omkostninger i ØR2022'!E20</f>
        <v>154954828.99055615</v>
      </c>
      <c r="D9" s="8" t="s">
        <v>3</v>
      </c>
      <c r="E9" s="1"/>
    </row>
    <row r="10" spans="1:5" ht="17.25" customHeight="1" x14ac:dyDescent="0.25">
      <c r="A10" s="1"/>
      <c r="B10" s="83" t="s">
        <v>39</v>
      </c>
      <c r="C10" s="7">
        <f>'Fane 11.1. Varige tillæg'!C15</f>
        <v>300183.15840000001</v>
      </c>
      <c r="D10" s="8" t="s">
        <v>3</v>
      </c>
      <c r="E10" s="1"/>
    </row>
    <row r="11" spans="1:5" ht="17.25" customHeight="1" x14ac:dyDescent="0.25">
      <c r="A11" s="1"/>
      <c r="B11" s="83" t="s">
        <v>40</v>
      </c>
      <c r="C11" s="9">
        <f>'Fane 11.1. Varige tillæg'!E15</f>
        <v>1968015.5085600002</v>
      </c>
      <c r="D11" s="8" t="s">
        <v>3</v>
      </c>
      <c r="E11" s="1"/>
    </row>
    <row r="12" spans="1:5" ht="17.25" customHeight="1" x14ac:dyDescent="0.25">
      <c r="A12" s="1"/>
      <c r="B12" s="83" t="s">
        <v>27</v>
      </c>
      <c r="C12" s="9">
        <f>-'Fane 14. Bortfald'!C13</f>
        <v>0</v>
      </c>
      <c r="D12" s="8" t="s">
        <v>3</v>
      </c>
      <c r="E12" s="1"/>
    </row>
    <row r="13" spans="1:5" ht="17.25" customHeight="1" x14ac:dyDescent="0.25">
      <c r="A13" s="1"/>
      <c r="B13" s="83" t="s">
        <v>26</v>
      </c>
      <c r="C13" s="9">
        <f>-'Fane 14. Bortfald'!E13</f>
        <v>0</v>
      </c>
      <c r="D13" s="8" t="s">
        <v>3</v>
      </c>
      <c r="E13" s="1"/>
    </row>
    <row r="14" spans="1:5" ht="17.25" customHeight="1" x14ac:dyDescent="0.25">
      <c r="A14" s="1"/>
      <c r="B14" s="83" t="s">
        <v>124</v>
      </c>
      <c r="C14" s="9">
        <f>'Fane 13. Tilknyttet virksomhed'!C12</f>
        <v>0</v>
      </c>
      <c r="D14" s="8" t="s">
        <v>3</v>
      </c>
      <c r="E14" s="1"/>
    </row>
    <row r="15" spans="1:5" ht="17.25" customHeight="1" x14ac:dyDescent="0.25">
      <c r="A15" s="1"/>
      <c r="B15" s="83" t="s">
        <v>125</v>
      </c>
      <c r="C15" s="9">
        <f>'Fane 13. Tilknyttet virksomhed'!E12</f>
        <v>0</v>
      </c>
      <c r="D15" s="8" t="s">
        <v>3</v>
      </c>
      <c r="E15" s="1"/>
    </row>
    <row r="16" spans="1:5" ht="17.25" customHeight="1" x14ac:dyDescent="0.25">
      <c r="A16" s="1"/>
      <c r="B16" s="83" t="s">
        <v>19</v>
      </c>
      <c r="C16" s="44">
        <f>SUM(C9)*'Fane 15. Nøgletal'!C14+SUM(C10:C15)*'Fane 15. Nøgletal'!C15</f>
        <v>592098.80821261136</v>
      </c>
      <c r="D16" s="8" t="s">
        <v>3</v>
      </c>
      <c r="E16" s="1"/>
    </row>
    <row r="17" spans="1:5" ht="17.25" customHeight="1" x14ac:dyDescent="0.25">
      <c r="A17" s="1"/>
      <c r="B17" s="83" t="s">
        <v>10</v>
      </c>
      <c r="C17" s="44">
        <f>-SUM(C9,C10:C16)*'Fane 5. Individuelt eff. krav'!G9</f>
        <v>-1984255.8406967511</v>
      </c>
      <c r="D17" s="8" t="s">
        <v>3</v>
      </c>
      <c r="E17" s="1"/>
    </row>
    <row r="18" spans="1:5" ht="17.25" customHeight="1" x14ac:dyDescent="0.25">
      <c r="A18" s="1"/>
      <c r="B18" s="83" t="s">
        <v>24</v>
      </c>
      <c r="C18" s="44">
        <f>-'Fane 4.1. Gen. krav - drift'!G45</f>
        <v>-892376.85502613592</v>
      </c>
      <c r="D18" s="8" t="s">
        <v>3</v>
      </c>
      <c r="E18" s="1"/>
    </row>
    <row r="19" spans="1:5" ht="17.25" customHeight="1" x14ac:dyDescent="0.25">
      <c r="A19" s="1"/>
      <c r="B19" s="83" t="s">
        <v>25</v>
      </c>
      <c r="C19" s="44">
        <f>-'Fane 4.2. Gen. krav - anlæg'!G43</f>
        <v>-1716205.9779252606</v>
      </c>
      <c r="D19" s="8" t="s">
        <v>3</v>
      </c>
      <c r="E19" s="48"/>
    </row>
    <row r="20" spans="1:5" ht="17.25" customHeight="1" x14ac:dyDescent="0.25">
      <c r="A20" s="1"/>
      <c r="B20" s="89" t="s">
        <v>21</v>
      </c>
      <c r="C20" s="10">
        <f>SUM(C9:C19)</f>
        <v>153222287.79208061</v>
      </c>
      <c r="D20" s="11" t="s">
        <v>3</v>
      </c>
      <c r="E20" s="1"/>
    </row>
    <row r="21" spans="1:5" ht="15" customHeight="1" x14ac:dyDescent="0.25">
      <c r="A21" s="1"/>
      <c r="B21" s="32" t="s">
        <v>12</v>
      </c>
      <c r="C21" s="27"/>
      <c r="D21" s="19"/>
      <c r="E21" s="1"/>
    </row>
    <row r="22" spans="1:5" ht="15" customHeight="1" x14ac:dyDescent="0.25">
      <c r="A22" s="1"/>
      <c r="B22" s="30" t="s">
        <v>12</v>
      </c>
      <c r="C22" s="10">
        <f>'Fane 6. Ikke-påvirkelige omk.'!C15+'Fane 6. Ikke-påvirkelige omk.'!C19+'Fane 6. Ikke-påvirkelige omk.'!C27</f>
        <v>3770342.6565340804</v>
      </c>
      <c r="D22" s="11" t="s">
        <v>3</v>
      </c>
      <c r="E22" s="1"/>
    </row>
    <row r="23" spans="1:5" ht="15" customHeight="1" x14ac:dyDescent="0.25">
      <c r="A23" s="1"/>
      <c r="B23" s="32" t="s">
        <v>86</v>
      </c>
      <c r="C23" s="27"/>
      <c r="D23" s="19"/>
      <c r="E23" s="1"/>
    </row>
    <row r="24" spans="1:5" ht="15" customHeight="1" x14ac:dyDescent="0.25">
      <c r="A24" s="1"/>
      <c r="B24" s="89" t="s">
        <v>86</v>
      </c>
      <c r="C24" s="10">
        <f>'Fane 12. Periodevise driftsomk.'!E13</f>
        <v>0</v>
      </c>
      <c r="D24" s="11" t="s">
        <v>3</v>
      </c>
      <c r="E24" s="1"/>
    </row>
    <row r="25" spans="1:5" ht="15" customHeight="1" x14ac:dyDescent="0.25">
      <c r="A25" s="1"/>
      <c r="B25" s="47" t="s">
        <v>85</v>
      </c>
      <c r="C25" s="45"/>
      <c r="D25" s="46"/>
      <c r="E25" s="1"/>
    </row>
    <row r="26" spans="1:5" ht="15" customHeight="1" x14ac:dyDescent="0.25">
      <c r="A26" s="1"/>
      <c r="B26" s="83" t="s">
        <v>231</v>
      </c>
      <c r="C26" s="75">
        <f>'Fane 11.2. Engangstillæg'!C12</f>
        <v>1150818.60791952</v>
      </c>
      <c r="D26" s="8" t="s">
        <v>3</v>
      </c>
      <c r="E26" s="1"/>
    </row>
    <row r="27" spans="1:5" ht="15" customHeight="1" x14ac:dyDescent="0.25">
      <c r="A27" s="1"/>
      <c r="B27" s="83" t="s">
        <v>82</v>
      </c>
      <c r="C27" s="75">
        <f>'Fane 11.2. Engangstillæg'!E12</f>
        <v>0</v>
      </c>
      <c r="D27" s="8" t="s">
        <v>3</v>
      </c>
      <c r="E27" s="1"/>
    </row>
    <row r="28" spans="1:5" ht="15" customHeight="1" x14ac:dyDescent="0.25">
      <c r="A28" s="1"/>
      <c r="B28" s="83" t="s">
        <v>238</v>
      </c>
      <c r="C28" s="75">
        <f>-C26*('Fane 15. Nøgletal'!C31+'Fane 5. Individuelt eff. krav'!G9)</f>
        <v>-37485.951820912182</v>
      </c>
      <c r="D28" s="8" t="s">
        <v>3</v>
      </c>
      <c r="E28" s="1"/>
    </row>
    <row r="29" spans="1:5" ht="15" customHeight="1" x14ac:dyDescent="0.25">
      <c r="A29" s="1"/>
      <c r="B29" s="83" t="s">
        <v>239</v>
      </c>
      <c r="C29" s="75">
        <f>-C27*('Fane 15. Nøgletal'!C26+'Fane 5. Individuelt eff. krav'!G9)</f>
        <v>0</v>
      </c>
      <c r="D29" s="8" t="s">
        <v>3</v>
      </c>
      <c r="E29" s="1"/>
    </row>
    <row r="30" spans="1:5" ht="15" customHeight="1" x14ac:dyDescent="0.25">
      <c r="A30" s="1"/>
      <c r="B30" s="95" t="s">
        <v>87</v>
      </c>
      <c r="C30" s="10">
        <f>SUM(C26:C29)</f>
        <v>1113332.6560986079</v>
      </c>
      <c r="D30" s="11" t="s">
        <v>3</v>
      </c>
      <c r="E30" s="1"/>
    </row>
    <row r="31" spans="1:5" x14ac:dyDescent="0.25">
      <c r="A31" s="1"/>
      <c r="B31" s="32" t="s">
        <v>143</v>
      </c>
      <c r="C31" s="27"/>
      <c r="D31" s="19"/>
      <c r="E31" s="1"/>
    </row>
    <row r="32" spans="1:5" x14ac:dyDescent="0.25">
      <c r="A32" s="1"/>
      <c r="B32" s="30" t="s">
        <v>180</v>
      </c>
      <c r="C32" s="10">
        <f>'Fane 7. Kontrol af ØR2021'!E28</f>
        <v>-3023587</v>
      </c>
      <c r="D32" s="11" t="s">
        <v>3</v>
      </c>
      <c r="E32" s="1"/>
    </row>
    <row r="33" spans="1:5" ht="15" customHeight="1" x14ac:dyDescent="0.25">
      <c r="A33" s="1"/>
      <c r="B33" s="32" t="s">
        <v>185</v>
      </c>
      <c r="C33" s="27"/>
      <c r="D33" s="19"/>
      <c r="E33" s="1"/>
    </row>
    <row r="34" spans="1:5" x14ac:dyDescent="0.25">
      <c r="A34" s="1"/>
      <c r="B34" s="30" t="s">
        <v>185</v>
      </c>
      <c r="C34" s="10">
        <f>'Fane 9. Korrektion af ØR2021'!E17</f>
        <v>0</v>
      </c>
      <c r="D34" s="11" t="s">
        <v>3</v>
      </c>
      <c r="E34" s="1"/>
    </row>
    <row r="35" spans="1:5" x14ac:dyDescent="0.25">
      <c r="A35" s="1"/>
      <c r="B35" s="29" t="s">
        <v>175</v>
      </c>
      <c r="C35" s="27"/>
      <c r="D35" s="19"/>
      <c r="E35" s="1"/>
    </row>
    <row r="36" spans="1:5" x14ac:dyDescent="0.25">
      <c r="A36" s="1"/>
      <c r="B36" s="95" t="s">
        <v>176</v>
      </c>
      <c r="C36" s="10">
        <f>'Fane 8. Skattesagen'!G12</f>
        <v>0</v>
      </c>
      <c r="D36" s="11" t="s">
        <v>3</v>
      </c>
      <c r="E36" s="1"/>
    </row>
    <row r="37" spans="1:5" x14ac:dyDescent="0.25">
      <c r="A37" s="1"/>
      <c r="B37" s="32" t="s">
        <v>90</v>
      </c>
      <c r="C37" s="57">
        <f>SUM(C34,C32,C24,C30,C22,C20,C36)</f>
        <v>155082376.10471329</v>
      </c>
      <c r="D37" s="29"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sheetData>
  <sheetProtection algorithmName="SHA-512" hashValue="EWOvBC2lDUj3kOMCfZI2D+GVw98vHHOAvgh1c8sJLSwYf4WtHdUjFUd+g1VSUC1qB90kzB3EV/svCC+Pjd5xwQ==" saltValue="gtJ8gGKQ6d3JvPeqapri9Q=="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24" t="s">
        <v>261</v>
      </c>
      <c r="C3" s="124"/>
      <c r="D3" s="1"/>
    </row>
    <row r="4" spans="1:4" ht="25.5" customHeight="1" x14ac:dyDescent="0.25">
      <c r="A4" s="1"/>
      <c r="B4" s="124"/>
      <c r="C4" s="12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94" t="s">
        <v>112</v>
      </c>
      <c r="C9" s="24">
        <v>1.2699999999999999E-2</v>
      </c>
      <c r="D9" s="1"/>
    </row>
    <row r="10" spans="1:4" x14ac:dyDescent="0.25">
      <c r="A10" s="1"/>
      <c r="B10" s="94" t="s">
        <v>113</v>
      </c>
      <c r="C10" s="24">
        <v>1.7500000000000002E-2</v>
      </c>
      <c r="D10" s="1"/>
    </row>
    <row r="11" spans="1:4" x14ac:dyDescent="0.25">
      <c r="A11" s="1"/>
      <c r="B11" s="94" t="s">
        <v>23</v>
      </c>
      <c r="C11" s="24">
        <v>1.6899999999999998E-2</v>
      </c>
      <c r="D11" s="1"/>
    </row>
    <row r="12" spans="1:4" x14ac:dyDescent="0.25">
      <c r="A12" s="1"/>
      <c r="B12" s="33" t="s">
        <v>172</v>
      </c>
      <c r="C12" s="34">
        <v>1.9699999999999999E-2</v>
      </c>
      <c r="D12" s="1"/>
    </row>
    <row r="13" spans="1:4" x14ac:dyDescent="0.25">
      <c r="A13" s="1"/>
      <c r="B13" s="33" t="s">
        <v>135</v>
      </c>
      <c r="C13" s="34">
        <v>1.2200000000000001E-2</v>
      </c>
      <c r="D13" s="1"/>
    </row>
    <row r="14" spans="1:4" x14ac:dyDescent="0.25">
      <c r="A14" s="1"/>
      <c r="B14" s="94" t="s">
        <v>171</v>
      </c>
      <c r="C14" s="42">
        <v>3.3E-3</v>
      </c>
      <c r="D14" s="1"/>
    </row>
    <row r="15" spans="1:4" x14ac:dyDescent="0.25">
      <c r="A15" s="1"/>
      <c r="B15" s="33" t="s">
        <v>223</v>
      </c>
      <c r="C15" s="70">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103</v>
      </c>
      <c r="C19" s="19"/>
      <c r="D19" s="1"/>
    </row>
    <row r="20" spans="1:4" x14ac:dyDescent="0.25">
      <c r="A20" s="1"/>
      <c r="B20" s="94" t="s">
        <v>114</v>
      </c>
      <c r="C20" s="22">
        <v>9.1000000000000004E-3</v>
      </c>
      <c r="D20" s="1"/>
    </row>
    <row r="21" spans="1:4" x14ac:dyDescent="0.25">
      <c r="A21" s="1"/>
      <c r="B21" s="94" t="s">
        <v>145</v>
      </c>
      <c r="C21" s="22">
        <v>1.77E-2</v>
      </c>
      <c r="D21" s="1"/>
    </row>
    <row r="22" spans="1:4" x14ac:dyDescent="0.25">
      <c r="A22" s="1"/>
      <c r="B22" s="94" t="s">
        <v>146</v>
      </c>
      <c r="C22" s="22">
        <v>8.6999999999999994E-3</v>
      </c>
      <c r="D22" s="1"/>
    </row>
    <row r="23" spans="1:4" x14ac:dyDescent="0.25">
      <c r="A23" s="1"/>
      <c r="B23" s="94" t="s">
        <v>115</v>
      </c>
      <c r="C23" s="35">
        <v>2.8400000000000002E-2</v>
      </c>
      <c r="D23" s="1"/>
    </row>
    <row r="24" spans="1:4" x14ac:dyDescent="0.25">
      <c r="A24" s="1"/>
      <c r="B24" s="94" t="s">
        <v>147</v>
      </c>
      <c r="C24" s="35">
        <v>2.75E-2</v>
      </c>
      <c r="D24" s="1"/>
    </row>
    <row r="25" spans="1:4" x14ac:dyDescent="0.25">
      <c r="A25" s="1"/>
      <c r="B25" s="94" t="s">
        <v>148</v>
      </c>
      <c r="C25" s="35">
        <v>1.4800000000000001E-2</v>
      </c>
      <c r="D25" s="1"/>
    </row>
    <row r="26" spans="1:4" x14ac:dyDescent="0.25">
      <c r="A26" s="1"/>
      <c r="B26" s="33" t="s">
        <v>216</v>
      </c>
      <c r="C26" s="71">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104</v>
      </c>
      <c r="C30" s="19"/>
      <c r="D30" s="1"/>
    </row>
    <row r="31" spans="1:4" x14ac:dyDescent="0.25">
      <c r="A31" s="1"/>
      <c r="B31" s="94" t="s">
        <v>116</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9"/>
      <c r="B50" s="49"/>
      <c r="C50" s="49"/>
      <c r="D50" s="49"/>
    </row>
    <row r="51" spans="1:4" x14ac:dyDescent="0.25">
      <c r="A51" s="49"/>
      <c r="B51" s="49"/>
      <c r="C51" s="49"/>
      <c r="D51" s="49"/>
    </row>
    <row r="52" spans="1:4" x14ac:dyDescent="0.25">
      <c r="A52" s="49"/>
      <c r="B52" s="49"/>
      <c r="C52" s="49"/>
      <c r="D52" s="49"/>
    </row>
    <row r="53" spans="1:4" x14ac:dyDescent="0.25">
      <c r="A53" s="49"/>
      <c r="B53" s="49"/>
      <c r="C53" s="49"/>
      <c r="D53" s="49"/>
    </row>
  </sheetData>
  <sheetProtection algorithmName="SHA-512" hashValue="VDtd7rjkLo0BGf1z4uAGpn024GRNF1ZjTdJRPBsUxN6b3MxfhCCyznST3BES3pZSoGTLGefEgpHEnP/kTbMojA==" saltValue="4Ld7jE1bNF410xfe9UXvFg=="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186</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ht="15" customHeight="1" x14ac:dyDescent="0.25">
      <c r="A9" s="1"/>
      <c r="B9" s="28" t="s">
        <v>127</v>
      </c>
      <c r="C9" s="7">
        <f>'Fane 2.1. Økonomisk ramme 2023'!C20</f>
        <v>153222287.79208061</v>
      </c>
      <c r="D9" s="8" t="s">
        <v>3</v>
      </c>
      <c r="E9" s="1"/>
    </row>
    <row r="10" spans="1:5" ht="15" customHeight="1" x14ac:dyDescent="0.25">
      <c r="A10" s="1"/>
      <c r="B10" s="25" t="s">
        <v>19</v>
      </c>
      <c r="C10" s="7">
        <f>SUM(C9:C9)*'Fane 15. Nøgletal'!C15</f>
        <v>5454713.4453980699</v>
      </c>
      <c r="D10" s="8" t="s">
        <v>3</v>
      </c>
      <c r="E10" s="1"/>
    </row>
    <row r="11" spans="1:5" ht="15" customHeight="1" x14ac:dyDescent="0.25">
      <c r="A11" s="1"/>
      <c r="B11" s="25" t="s">
        <v>10</v>
      </c>
      <c r="C11" s="9">
        <f>-SUM(C9:C10)*'Fane 5. Individuelt eff. krav'!G9</f>
        <v>-1995092.4448176199</v>
      </c>
      <c r="D11" s="8" t="s">
        <v>3</v>
      </c>
      <c r="E11" s="1"/>
    </row>
    <row r="12" spans="1:5" ht="15" customHeight="1" x14ac:dyDescent="0.25">
      <c r="A12" s="1"/>
      <c r="B12" s="25" t="s">
        <v>24</v>
      </c>
      <c r="C12" s="9">
        <f>-'Fane 4.1. Gen. krav - drift'!G53</f>
        <v>-905662.56164376519</v>
      </c>
      <c r="D12" s="8" t="s">
        <v>3</v>
      </c>
      <c r="E12" s="1"/>
    </row>
    <row r="13" spans="1:5" ht="15" customHeight="1" x14ac:dyDescent="0.25">
      <c r="A13" s="1"/>
      <c r="B13" s="25" t="s">
        <v>25</v>
      </c>
      <c r="C13" s="9">
        <f>-'Fane 4.2. Gen. krav - anlæg'!G54</f>
        <v>0</v>
      </c>
      <c r="D13" s="8" t="s">
        <v>3</v>
      </c>
      <c r="E13" s="1"/>
    </row>
    <row r="14" spans="1:5" ht="15" customHeight="1" x14ac:dyDescent="0.25">
      <c r="A14" s="1"/>
      <c r="B14" s="26" t="s">
        <v>21</v>
      </c>
      <c r="C14" s="10">
        <f>SUM(C9:C13)</f>
        <v>155776246.23101726</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Nøgletal'!C15)+'Fane 6. Ikke-påvirkelige omk.'!C26+'Fane 6. Ikke-påvirkelige omk.'!C34</f>
        <v>3904566.8551066942</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driftsomk.'!E19</f>
        <v>0</v>
      </c>
      <c r="D18" s="11" t="s">
        <v>3</v>
      </c>
      <c r="E18" s="1"/>
    </row>
    <row r="19" spans="1:5" x14ac:dyDescent="0.25">
      <c r="A19" s="1"/>
      <c r="B19" s="32" t="s">
        <v>143</v>
      </c>
      <c r="C19" s="27"/>
      <c r="D19" s="19"/>
      <c r="E19" s="1"/>
    </row>
    <row r="20" spans="1:5" ht="15" customHeight="1" x14ac:dyDescent="0.25">
      <c r="A20" s="1"/>
      <c r="B20" s="30" t="s">
        <v>180</v>
      </c>
      <c r="C20" s="10">
        <f>'Fane 7. Kontrol af ØR2021'!E34</f>
        <v>-1138758.4409359768</v>
      </c>
      <c r="D20" s="11" t="s">
        <v>3</v>
      </c>
      <c r="E20" s="1"/>
    </row>
    <row r="21" spans="1:5" x14ac:dyDescent="0.25">
      <c r="A21" s="1"/>
      <c r="B21" s="29" t="s">
        <v>175</v>
      </c>
      <c r="C21" s="27"/>
      <c r="D21" s="19"/>
      <c r="E21" s="1"/>
    </row>
    <row r="22" spans="1:5" x14ac:dyDescent="0.25">
      <c r="A22" s="1"/>
      <c r="B22" s="95" t="s">
        <v>176</v>
      </c>
      <c r="C22" s="10">
        <f>'Fane 8. Skattesagen'!G13</f>
        <v>0</v>
      </c>
      <c r="D22" s="11" t="s">
        <v>3</v>
      </c>
      <c r="E22" s="1"/>
    </row>
    <row r="23" spans="1:5" x14ac:dyDescent="0.25">
      <c r="A23" s="1"/>
      <c r="B23" s="32" t="s">
        <v>128</v>
      </c>
      <c r="C23" s="12">
        <f>SUM(C14,C16,C18,C20,C22)</f>
        <v>158542054.64518797</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gLtIGYgQNG2RFbQDEEV7btCmrYMt7a9OkWjOUuQWkDG2NLk898OJjE1oclan1DyKM8uH6r1NtvKth/C8FKBVXQ==" saltValue="3NSI2+OIsxCogbF1+zw3K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187</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233</v>
      </c>
      <c r="C9" s="7">
        <f>'Fane 2.2. Økonomisk ramme 2024'!C14</f>
        <v>155776246.23101726</v>
      </c>
      <c r="D9" s="8" t="s">
        <v>3</v>
      </c>
      <c r="E9" s="1"/>
    </row>
    <row r="10" spans="1:5" ht="15" customHeight="1" x14ac:dyDescent="0.25">
      <c r="A10" s="1"/>
      <c r="B10" s="25" t="s">
        <v>19</v>
      </c>
      <c r="C10" s="7">
        <f>SUM(C9:C9)*'Fane 15. Nøgletal'!C15</f>
        <v>5545634.3658242142</v>
      </c>
      <c r="D10" s="8" t="s">
        <v>3</v>
      </c>
      <c r="E10" s="1"/>
    </row>
    <row r="11" spans="1:5" ht="15" customHeight="1" x14ac:dyDescent="0.25">
      <c r="A11" s="1"/>
      <c r="B11" s="25" t="s">
        <v>10</v>
      </c>
      <c r="C11" s="9">
        <f>-SUM(C9:C10)*'Fane 5. Individuelt eff. krav'!G9</f>
        <v>-2028347.2882175245</v>
      </c>
      <c r="D11" s="8" t="s">
        <v>3</v>
      </c>
      <c r="E11" s="1"/>
    </row>
    <row r="12" spans="1:5" ht="15" customHeight="1" x14ac:dyDescent="0.25">
      <c r="A12" s="1"/>
      <c r="B12" s="25" t="s">
        <v>24</v>
      </c>
      <c r="C12" s="9">
        <f>-'Fane 4.1. Gen. krav - drift'!G58</f>
        <v>-919146.06586151768</v>
      </c>
      <c r="D12" s="8" t="s">
        <v>3</v>
      </c>
      <c r="E12" s="1"/>
    </row>
    <row r="13" spans="1:5" ht="15" customHeight="1" x14ac:dyDescent="0.25">
      <c r="A13" s="1"/>
      <c r="B13" s="25" t="s">
        <v>25</v>
      </c>
      <c r="C13" s="9">
        <f>-'Fane 4.2. Gen. krav - anlæg'!G59</f>
        <v>0</v>
      </c>
      <c r="D13" s="8" t="s">
        <v>3</v>
      </c>
      <c r="E13" s="1"/>
    </row>
    <row r="14" spans="1:5" x14ac:dyDescent="0.25">
      <c r="A14" s="1"/>
      <c r="B14" s="26" t="s">
        <v>21</v>
      </c>
      <c r="C14" s="10">
        <f>SUM(C9:C13)</f>
        <v>158374387.24276245</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Nøgletal'!C15)^2+'Fane 6. Ikke-påvirkelige omk.'!C21+'Fane 6. Ikke-påvirkelige omk.'!C29</f>
        <v>4043569.4351484925</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driftsomk.'!E25</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-1138758.4409359768</v>
      </c>
      <c r="D20" s="11" t="s">
        <v>3</v>
      </c>
      <c r="E20" s="1"/>
    </row>
    <row r="21" spans="1:5" x14ac:dyDescent="0.25">
      <c r="A21" s="1"/>
      <c r="B21" s="29" t="s">
        <v>175</v>
      </c>
      <c r="C21" s="27"/>
      <c r="D21" s="19"/>
      <c r="E21" s="1"/>
    </row>
    <row r="22" spans="1:5" x14ac:dyDescent="0.25">
      <c r="A22" s="1"/>
      <c r="B22" s="95" t="s">
        <v>176</v>
      </c>
      <c r="C22" s="10">
        <f>'Fane 8. Skattesagen'!G14</f>
        <v>0</v>
      </c>
      <c r="D22" s="11" t="s">
        <v>3</v>
      </c>
      <c r="E22" s="1"/>
    </row>
    <row r="23" spans="1:5" x14ac:dyDescent="0.25">
      <c r="A23" s="1"/>
      <c r="B23" s="32" t="s">
        <v>149</v>
      </c>
      <c r="C23" s="12">
        <f>SUM(C14,C16,C18,C20,C22)</f>
        <v>161279198.23697495</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r64Ou6NJqeRc3uvnmFcSZ2NdUAKgzCq69yvL4DGRFfmg6yXGUbIJ+yGZnr1hEbdRPqiaDVRZKXWwkugrvUF7gw==" saltValue="dxz2hn5kVUc/4OqJJjdWU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188</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189</v>
      </c>
      <c r="C9" s="7">
        <f>'Fane 2.3. Økonomisk ramme 2025'!C14</f>
        <v>158374387.24276245</v>
      </c>
      <c r="D9" s="8" t="s">
        <v>3</v>
      </c>
      <c r="E9" s="1"/>
    </row>
    <row r="10" spans="1:5" ht="15" customHeight="1" x14ac:dyDescent="0.25">
      <c r="A10" s="1"/>
      <c r="B10" s="25" t="s">
        <v>19</v>
      </c>
      <c r="C10" s="7">
        <f>SUM(C9:C9)*'Fane 15. Nøgletal'!C15</f>
        <v>5638128.1858423427</v>
      </c>
      <c r="D10" s="8" t="s">
        <v>3</v>
      </c>
      <c r="E10" s="1"/>
    </row>
    <row r="11" spans="1:5" ht="15" customHeight="1" x14ac:dyDescent="0.25">
      <c r="A11" s="1"/>
      <c r="B11" s="25" t="s">
        <v>10</v>
      </c>
      <c r="C11" s="9">
        <f>-SUM(C9:C10)*'Fane 5. Individuelt eff. krav'!G9</f>
        <v>-2062177.4285828578</v>
      </c>
      <c r="D11" s="8" t="s">
        <v>3</v>
      </c>
      <c r="E11" s="1"/>
    </row>
    <row r="12" spans="1:5" ht="15" customHeight="1" x14ac:dyDescent="0.25">
      <c r="A12" s="1"/>
      <c r="B12" s="25" t="s">
        <v>24</v>
      </c>
      <c r="C12" s="9">
        <f>-'Fane 4.1. Gen. krav - drift'!G63</f>
        <v>-932830.31249006407</v>
      </c>
      <c r="D12" s="8" t="s">
        <v>3</v>
      </c>
      <c r="E12" s="1"/>
    </row>
    <row r="13" spans="1:5" ht="15" customHeight="1" x14ac:dyDescent="0.25">
      <c r="A13" s="1"/>
      <c r="B13" s="25" t="s">
        <v>25</v>
      </c>
      <c r="C13" s="9">
        <f>-'Fane 4.2. Gen. krav - anlæg'!G64</f>
        <v>0</v>
      </c>
      <c r="D13" s="8" t="s">
        <v>3</v>
      </c>
      <c r="E13" s="1"/>
    </row>
    <row r="14" spans="1:5" ht="14.25" customHeight="1" x14ac:dyDescent="0.25">
      <c r="A14" s="1"/>
      <c r="B14" s="26" t="s">
        <v>21</v>
      </c>
      <c r="C14" s="10">
        <f>SUM(C9:C13)</f>
        <v>161017507.68753186</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Nøgletal'!C15)^3+'Fane 6. Ikke-påvirkelige omk.'!C22+'Fane 6. Ikke-påvirkelige omk.'!C30</f>
        <v>4187520.5070397789</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driftsomk.'!E31</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-1138758.4409359768</v>
      </c>
      <c r="D20" s="11" t="s">
        <v>3</v>
      </c>
      <c r="E20" s="1"/>
    </row>
    <row r="21" spans="1:5" x14ac:dyDescent="0.25">
      <c r="A21" s="1"/>
      <c r="B21" s="29" t="s">
        <v>175</v>
      </c>
      <c r="C21" s="27"/>
      <c r="D21" s="19"/>
      <c r="E21" s="1"/>
    </row>
    <row r="22" spans="1:5" x14ac:dyDescent="0.25">
      <c r="A22" s="1"/>
      <c r="B22" s="95" t="s">
        <v>176</v>
      </c>
      <c r="C22" s="10">
        <f>'Fane 8. Skattesagen'!G15</f>
        <v>0</v>
      </c>
      <c r="D22" s="11" t="s">
        <v>3</v>
      </c>
      <c r="E22" s="1"/>
    </row>
    <row r="23" spans="1:5" x14ac:dyDescent="0.25">
      <c r="A23" s="1"/>
      <c r="B23" s="32" t="s">
        <v>190</v>
      </c>
      <c r="C23" s="12">
        <f>SUM(C14,C16,C18,C20,C22)</f>
        <v>164066269.75363567</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QcjG18Qx2y4V6/wlg1FTaV+ZAn2ml3if4rh3Ls8cHN2DQKblMFDhUoSf3WzhB+YzGtEPa41X+0l0lfVETX0yoQ==" saltValue="D4dm64/ahvCjSWQIeO4lI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0"/>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191</v>
      </c>
      <c r="C3" s="124"/>
      <c r="D3" s="124"/>
      <c r="E3" s="124"/>
      <c r="F3" s="124"/>
      <c r="G3" s="1"/>
    </row>
    <row r="4" spans="1:7" ht="29.2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288</v>
      </c>
      <c r="C8" s="27"/>
      <c r="D8" s="27"/>
      <c r="E8" s="27"/>
      <c r="F8" s="19"/>
      <c r="G8" s="1"/>
    </row>
    <row r="9" spans="1:7" ht="15" customHeight="1" x14ac:dyDescent="0.25">
      <c r="A9" s="1"/>
      <c r="B9" s="121" t="s">
        <v>192</v>
      </c>
      <c r="C9" s="122"/>
      <c r="D9" s="123"/>
      <c r="E9" s="7">
        <v>158167083.60179088</v>
      </c>
      <c r="F9" s="8" t="s">
        <v>3</v>
      </c>
      <c r="G9" s="1"/>
    </row>
    <row r="10" spans="1:7" ht="15" customHeight="1" x14ac:dyDescent="0.25">
      <c r="A10" s="1"/>
      <c r="B10" s="125" t="s">
        <v>39</v>
      </c>
      <c r="C10" s="126"/>
      <c r="D10" s="127"/>
      <c r="E10" s="7">
        <v>82815.391900000002</v>
      </c>
      <c r="F10" s="8" t="s">
        <v>3</v>
      </c>
      <c r="G10" s="1"/>
    </row>
    <row r="11" spans="1:7" ht="15" customHeight="1" x14ac:dyDescent="0.25">
      <c r="A11" s="1"/>
      <c r="B11" s="125" t="s">
        <v>40</v>
      </c>
      <c r="C11" s="126"/>
      <c r="D11" s="127"/>
      <c r="E11" s="9">
        <v>824198.91040000005</v>
      </c>
      <c r="F11" s="8" t="s">
        <v>3</v>
      </c>
      <c r="G11" s="1"/>
    </row>
    <row r="12" spans="1:7" ht="15" customHeight="1" x14ac:dyDescent="0.25">
      <c r="A12" s="1"/>
      <c r="B12" s="125" t="s">
        <v>27</v>
      </c>
      <c r="C12" s="126"/>
      <c r="D12" s="127"/>
      <c r="E12" s="9">
        <v>0</v>
      </c>
      <c r="F12" s="8" t="s">
        <v>3</v>
      </c>
      <c r="G12" s="1"/>
    </row>
    <row r="13" spans="1:7" ht="15" customHeight="1" x14ac:dyDescent="0.25">
      <c r="A13" s="1"/>
      <c r="B13" s="121" t="s">
        <v>26</v>
      </c>
      <c r="C13" s="122"/>
      <c r="D13" s="123"/>
      <c r="E13" s="9">
        <v>0</v>
      </c>
      <c r="F13" s="8" t="s">
        <v>3</v>
      </c>
      <c r="G13" s="1"/>
    </row>
    <row r="14" spans="1:7" ht="15" customHeight="1" x14ac:dyDescent="0.25">
      <c r="A14" s="1"/>
      <c r="B14" s="121" t="s">
        <v>29</v>
      </c>
      <c r="C14" s="122"/>
      <c r="D14" s="123"/>
      <c r="E14" s="9">
        <v>0</v>
      </c>
      <c r="F14" s="8" t="s">
        <v>3</v>
      </c>
      <c r="G14" s="1"/>
    </row>
    <row r="15" spans="1:7" ht="15" customHeight="1" x14ac:dyDescent="0.25">
      <c r="A15" s="1"/>
      <c r="B15" s="121" t="s">
        <v>28</v>
      </c>
      <c r="C15" s="122"/>
      <c r="D15" s="123"/>
      <c r="E15" s="9">
        <v>0</v>
      </c>
      <c r="F15" s="8" t="s">
        <v>3</v>
      </c>
      <c r="G15" s="1"/>
    </row>
    <row r="16" spans="1:7" ht="15" customHeight="1" x14ac:dyDescent="0.25">
      <c r="A16" s="1"/>
      <c r="B16" s="121" t="s">
        <v>19</v>
      </c>
      <c r="C16" s="122"/>
      <c r="D16" s="123"/>
      <c r="E16" s="9">
        <f>SUM(E9:E15)*'Fane 15. Nøgletal'!C14</f>
        <v>524944.52308349987</v>
      </c>
      <c r="F16" s="8" t="s">
        <v>3</v>
      </c>
      <c r="G16" s="1"/>
    </row>
    <row r="17" spans="1:7" ht="15" customHeight="1" x14ac:dyDescent="0.25">
      <c r="A17" s="1"/>
      <c r="B17" s="121" t="s">
        <v>10</v>
      </c>
      <c r="C17" s="122"/>
      <c r="D17" s="123"/>
      <c r="E17" s="9">
        <v>-2006685.5389461096</v>
      </c>
      <c r="F17" s="8" t="s">
        <v>3</v>
      </c>
      <c r="G17" s="1"/>
    </row>
    <row r="18" spans="1:7" ht="15" customHeight="1" x14ac:dyDescent="0.25">
      <c r="A18" s="1"/>
      <c r="B18" s="121" t="s">
        <v>24</v>
      </c>
      <c r="C18" s="122"/>
      <c r="D18" s="123"/>
      <c r="E18" s="9">
        <f>-'Fane 4.1. Gen. krav - drift'!G39</f>
        <v>-901270.15689993929</v>
      </c>
      <c r="F18" s="8" t="s">
        <v>3</v>
      </c>
      <c r="G18" s="1"/>
    </row>
    <row r="19" spans="1:7" ht="15" customHeight="1" x14ac:dyDescent="0.25">
      <c r="A19" s="1"/>
      <c r="B19" s="121" t="s">
        <v>25</v>
      </c>
      <c r="C19" s="122"/>
      <c r="D19" s="123"/>
      <c r="E19" s="9">
        <f>-'Fane 4.2. Gen. krav - anlæg'!G37</f>
        <v>-1736257.7407721998</v>
      </c>
      <c r="F19" s="8" t="s">
        <v>3</v>
      </c>
      <c r="G19" s="1"/>
    </row>
    <row r="20" spans="1:7" ht="15" customHeight="1" x14ac:dyDescent="0.25">
      <c r="A20" s="1"/>
      <c r="B20" s="54" t="s">
        <v>21</v>
      </c>
      <c r="C20" s="90"/>
      <c r="D20" s="96"/>
      <c r="E20" s="51">
        <f>SUM(E9:E19)</f>
        <v>154954828.99055615</v>
      </c>
      <c r="F20" s="53" t="s">
        <v>3</v>
      </c>
      <c r="G20" s="1"/>
    </row>
    <row r="21" spans="1:7" ht="15" customHeight="1" x14ac:dyDescent="0.25">
      <c r="A21" s="1"/>
      <c r="B21" s="32" t="s">
        <v>12</v>
      </c>
      <c r="C21" s="27"/>
      <c r="D21" s="27"/>
      <c r="E21" s="27"/>
      <c r="F21" s="19"/>
      <c r="G21" s="1"/>
    </row>
    <row r="22" spans="1:7" ht="15" customHeight="1" x14ac:dyDescent="0.25">
      <c r="A22" s="1"/>
      <c r="B22" s="128" t="s">
        <v>12</v>
      </c>
      <c r="C22" s="129"/>
      <c r="D22" s="130"/>
      <c r="E22" s="10">
        <v>2748411.1162312906</v>
      </c>
      <c r="F22" s="11" t="s">
        <v>3</v>
      </c>
      <c r="G22" s="1"/>
    </row>
    <row r="23" spans="1:7" ht="15" customHeight="1" x14ac:dyDescent="0.25">
      <c r="A23" s="1"/>
      <c r="B23" s="131" t="s">
        <v>86</v>
      </c>
      <c r="C23" s="132"/>
      <c r="D23" s="133"/>
      <c r="E23" s="27"/>
      <c r="F23" s="27"/>
      <c r="G23" s="1"/>
    </row>
    <row r="24" spans="1:7" ht="15" customHeight="1" x14ac:dyDescent="0.25">
      <c r="A24" s="1"/>
      <c r="B24" s="89" t="s">
        <v>86</v>
      </c>
      <c r="C24" s="37"/>
      <c r="D24" s="38"/>
      <c r="E24" s="10">
        <v>0</v>
      </c>
      <c r="F24" s="11" t="s">
        <v>3</v>
      </c>
      <c r="G24" s="1"/>
    </row>
    <row r="25" spans="1:7" x14ac:dyDescent="0.25">
      <c r="A25" s="1"/>
      <c r="B25" s="32" t="s">
        <v>85</v>
      </c>
      <c r="C25" s="27"/>
      <c r="D25" s="27"/>
      <c r="E25" s="27"/>
      <c r="F25" s="19"/>
      <c r="G25" s="1"/>
    </row>
    <row r="26" spans="1:7" ht="15" customHeight="1" x14ac:dyDescent="0.25">
      <c r="A26" s="1"/>
      <c r="B26" s="125" t="s">
        <v>81</v>
      </c>
      <c r="C26" s="126"/>
      <c r="D26" s="127"/>
      <c r="E26" s="9">
        <v>445326.97114109644</v>
      </c>
      <c r="F26" s="8" t="s">
        <v>3</v>
      </c>
      <c r="G26" s="1"/>
    </row>
    <row r="27" spans="1:7" ht="15" customHeight="1" x14ac:dyDescent="0.25">
      <c r="A27" s="1"/>
      <c r="B27" s="125" t="s">
        <v>82</v>
      </c>
      <c r="C27" s="126"/>
      <c r="D27" s="126"/>
      <c r="E27" s="9">
        <v>0</v>
      </c>
      <c r="F27" s="8" t="s">
        <v>3</v>
      </c>
      <c r="G27" s="1"/>
    </row>
    <row r="28" spans="1:7" ht="15" customHeight="1" x14ac:dyDescent="0.25">
      <c r="A28" s="1"/>
      <c r="B28" s="134" t="s">
        <v>87</v>
      </c>
      <c r="C28" s="135"/>
      <c r="D28" s="135"/>
      <c r="E28" s="39">
        <f>SUM(E26:E27)</f>
        <v>445326.97114109644</v>
      </c>
      <c r="F28" s="11" t="s">
        <v>3</v>
      </c>
      <c r="G28" s="1"/>
    </row>
    <row r="29" spans="1:7" ht="15" customHeight="1" x14ac:dyDescent="0.25">
      <c r="A29" s="1"/>
      <c r="B29" s="32" t="s">
        <v>143</v>
      </c>
      <c r="C29" s="32"/>
      <c r="D29" s="32"/>
      <c r="E29" s="27"/>
      <c r="F29" s="27"/>
      <c r="G29" s="1"/>
    </row>
    <row r="30" spans="1:7" ht="15" customHeight="1" x14ac:dyDescent="0.25">
      <c r="A30" s="1"/>
      <c r="B30" s="128" t="s">
        <v>142</v>
      </c>
      <c r="C30" s="129"/>
      <c r="D30" s="129"/>
      <c r="E30" s="39">
        <v>-3023587</v>
      </c>
      <c r="F30" s="11" t="s">
        <v>3</v>
      </c>
      <c r="G30" s="1"/>
    </row>
    <row r="31" spans="1:7" x14ac:dyDescent="0.25">
      <c r="A31" s="1"/>
      <c r="B31" s="32" t="s">
        <v>123</v>
      </c>
      <c r="C31" s="27"/>
      <c r="D31" s="27"/>
      <c r="E31" s="27"/>
      <c r="F31" s="27"/>
      <c r="G31" s="1"/>
    </row>
    <row r="32" spans="1:7" ht="15.4" customHeight="1" x14ac:dyDescent="0.25">
      <c r="A32" s="1"/>
      <c r="B32" s="128" t="s">
        <v>123</v>
      </c>
      <c r="C32" s="129"/>
      <c r="D32" s="130"/>
      <c r="E32" s="10">
        <v>0</v>
      </c>
      <c r="F32" s="11" t="s">
        <v>3</v>
      </c>
      <c r="G32" s="1"/>
    </row>
    <row r="33" spans="1:7" ht="15.4" customHeight="1" x14ac:dyDescent="0.25">
      <c r="A33" s="1"/>
      <c r="B33" s="131" t="s">
        <v>175</v>
      </c>
      <c r="C33" s="132"/>
      <c r="D33" s="132"/>
      <c r="E33" s="132"/>
      <c r="F33" s="133"/>
      <c r="G33" s="1"/>
    </row>
    <row r="34" spans="1:7" ht="15.4" customHeight="1" x14ac:dyDescent="0.25">
      <c r="A34" s="1"/>
      <c r="B34" s="95" t="s">
        <v>176</v>
      </c>
      <c r="C34" s="10"/>
      <c r="D34" s="11"/>
      <c r="E34" s="10">
        <f>'Fane 8. Skattesagen'!G11</f>
        <v>0</v>
      </c>
      <c r="F34" s="11" t="s">
        <v>3</v>
      </c>
      <c r="G34" s="1"/>
    </row>
    <row r="35" spans="1:7" x14ac:dyDescent="0.25">
      <c r="A35" s="1"/>
      <c r="B35" s="55" t="s">
        <v>218</v>
      </c>
      <c r="C35" s="56"/>
      <c r="D35" s="19"/>
      <c r="E35" s="45">
        <f>SUM(E32,E30,E28,E24,E22,E20,E34)</f>
        <v>155124980.07792854</v>
      </c>
      <c r="F35" s="52" t="s">
        <v>3</v>
      </c>
      <c r="G35" s="1"/>
    </row>
    <row r="36" spans="1:7" ht="27" customHeight="1" x14ac:dyDescent="0.25">
      <c r="A36" s="1"/>
      <c r="B36" s="121" t="s">
        <v>222</v>
      </c>
      <c r="C36" s="122"/>
      <c r="D36" s="122"/>
      <c r="E36" s="122"/>
      <c r="F36" s="123"/>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49"/>
      <c r="B47" s="49"/>
      <c r="C47" s="49"/>
      <c r="D47" s="49"/>
      <c r="E47" s="49"/>
      <c r="F47" s="49"/>
      <c r="G47" s="49"/>
    </row>
    <row r="48" spans="1:7" x14ac:dyDescent="0.25">
      <c r="A48" s="49"/>
      <c r="B48" s="49"/>
      <c r="C48" s="49"/>
      <c r="D48" s="49"/>
      <c r="E48" s="49"/>
      <c r="F48" s="49"/>
      <c r="G48" s="49"/>
    </row>
    <row r="49" spans="1:7" x14ac:dyDescent="0.25">
      <c r="A49" s="49"/>
      <c r="B49" s="49"/>
      <c r="C49" s="49"/>
      <c r="D49" s="49"/>
      <c r="E49" s="49"/>
      <c r="F49" s="49"/>
      <c r="G49" s="49"/>
    </row>
    <row r="50" spans="1:7" x14ac:dyDescent="0.25">
      <c r="A50" s="49"/>
      <c r="B50" s="49"/>
      <c r="C50" s="49"/>
      <c r="D50" s="49"/>
      <c r="E50" s="49"/>
      <c r="F50" s="49"/>
      <c r="G50" s="49"/>
    </row>
  </sheetData>
  <sheetProtection algorithmName="SHA-512" hashValue="sd4YYmnhwmEYmpsEfKQvzfY1fCDbQgGl5mb+wO0T9nmY3SRrShGHoFUjVuCXZsExBxfyCAlZTcwEcutLgg+M0w==" saltValue="DSAMPmTAqp1BL9RMkk7POw==" spinCount="100000" sheet="1" objects="1" scenarios="1"/>
  <mergeCells count="21">
    <mergeCell ref="B26:D26"/>
    <mergeCell ref="B32:D32"/>
    <mergeCell ref="B22:D22"/>
    <mergeCell ref="B23:D23"/>
    <mergeCell ref="B36:F36"/>
    <mergeCell ref="B27:D27"/>
    <mergeCell ref="B28:D28"/>
    <mergeCell ref="B30:D30"/>
    <mergeCell ref="B33:F33"/>
    <mergeCell ref="B3:F4"/>
    <mergeCell ref="B9:D9"/>
    <mergeCell ref="B10:D10"/>
    <mergeCell ref="B11:D11"/>
    <mergeCell ref="B12:D12"/>
    <mergeCell ref="B18:D18"/>
    <mergeCell ref="B19:D19"/>
    <mergeCell ref="B13:D13"/>
    <mergeCell ref="B14:D14"/>
    <mergeCell ref="B15:D15"/>
    <mergeCell ref="B16:D16"/>
    <mergeCell ref="B17:D1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24" t="s">
        <v>109</v>
      </c>
      <c r="C2" s="124"/>
      <c r="D2" s="124"/>
      <c r="E2" s="124"/>
      <c r="F2" s="124"/>
      <c r="G2" s="124"/>
      <c r="H2" s="124"/>
      <c r="I2" s="1"/>
    </row>
    <row r="3" spans="1:9" ht="28.5" customHeight="1" x14ac:dyDescent="0.25">
      <c r="A3" s="1"/>
      <c r="B3" s="124"/>
      <c r="C3" s="124"/>
      <c r="D3" s="124"/>
      <c r="E3" s="124"/>
      <c r="F3" s="124"/>
      <c r="G3" s="124"/>
      <c r="H3" s="124"/>
      <c r="I3" s="1"/>
    </row>
    <row r="4" spans="1:9" x14ac:dyDescent="0.25">
      <c r="A4" s="1"/>
      <c r="B4" s="131" t="s">
        <v>52</v>
      </c>
      <c r="C4" s="132"/>
      <c r="D4" s="132"/>
      <c r="E4" s="132"/>
      <c r="F4" s="132"/>
      <c r="G4" s="132"/>
      <c r="H4" s="133"/>
      <c r="I4" s="1"/>
    </row>
    <row r="5" spans="1:9" x14ac:dyDescent="0.25">
      <c r="A5" s="1"/>
      <c r="B5" s="136" t="s">
        <v>41</v>
      </c>
      <c r="C5" s="137"/>
      <c r="D5" s="137"/>
      <c r="E5" s="137"/>
      <c r="F5" s="138"/>
      <c r="G5" s="76">
        <v>45816382.663737297</v>
      </c>
      <c r="H5" s="14" t="s">
        <v>3</v>
      </c>
      <c r="I5" s="1"/>
    </row>
    <row r="6" spans="1:9" x14ac:dyDescent="0.25">
      <c r="A6" s="1"/>
      <c r="B6" s="121" t="s">
        <v>120</v>
      </c>
      <c r="C6" s="122"/>
      <c r="D6" s="122"/>
      <c r="E6" s="122"/>
      <c r="F6" s="123"/>
      <c r="G6" s="77">
        <v>0</v>
      </c>
      <c r="H6" s="14" t="s">
        <v>3</v>
      </c>
      <c r="I6" s="1"/>
    </row>
    <row r="7" spans="1:9" x14ac:dyDescent="0.25">
      <c r="A7" s="1"/>
      <c r="B7" s="136" t="s">
        <v>42</v>
      </c>
      <c r="C7" s="137"/>
      <c r="D7" s="137"/>
      <c r="E7" s="137"/>
      <c r="F7" s="138"/>
      <c r="G7" s="76">
        <f>SUM(G5:G6)*'Fane 15. Nøgletal'!C31</f>
        <v>916327.65327474591</v>
      </c>
      <c r="H7" s="14" t="s">
        <v>3</v>
      </c>
      <c r="I7" s="1"/>
    </row>
    <row r="8" spans="1:9" x14ac:dyDescent="0.25">
      <c r="A8" s="1"/>
      <c r="B8" s="32"/>
      <c r="C8" s="27"/>
      <c r="D8" s="27"/>
      <c r="E8" s="27"/>
      <c r="F8" s="27"/>
      <c r="G8" s="78"/>
      <c r="H8" s="19"/>
      <c r="I8" s="1"/>
    </row>
    <row r="9" spans="1:9" x14ac:dyDescent="0.25">
      <c r="A9" s="1"/>
      <c r="B9" s="1"/>
      <c r="C9" s="1"/>
      <c r="D9" s="1"/>
      <c r="E9" s="1"/>
      <c r="F9" s="1"/>
      <c r="G9" s="79"/>
      <c r="H9" s="1"/>
      <c r="I9" s="1"/>
    </row>
    <row r="10" spans="1:9" x14ac:dyDescent="0.25">
      <c r="A10" s="1"/>
      <c r="B10" s="131" t="s">
        <v>53</v>
      </c>
      <c r="C10" s="132"/>
      <c r="D10" s="132"/>
      <c r="E10" s="132"/>
      <c r="F10" s="132"/>
      <c r="G10" s="139"/>
      <c r="H10" s="133"/>
      <c r="I10" s="1"/>
    </row>
    <row r="11" spans="1:9" x14ac:dyDescent="0.25">
      <c r="A11" s="1"/>
      <c r="B11" s="136" t="s">
        <v>43</v>
      </c>
      <c r="C11" s="137"/>
      <c r="D11" s="137"/>
      <c r="E11" s="137"/>
      <c r="F11" s="138"/>
      <c r="G11" s="76">
        <f>(G5-G7)*(1+'Fane 15. Nøgletal'!C10)</f>
        <v>45685805.973145649</v>
      </c>
      <c r="H11" s="14" t="s">
        <v>3</v>
      </c>
      <c r="I11" s="1"/>
    </row>
    <row r="12" spans="1:9" ht="15" customHeight="1" x14ac:dyDescent="0.25">
      <c r="A12" s="1"/>
      <c r="B12" s="136" t="s">
        <v>121</v>
      </c>
      <c r="C12" s="137"/>
      <c r="D12" s="137"/>
      <c r="E12" s="137"/>
      <c r="F12" s="138"/>
      <c r="G12" s="77">
        <v>0</v>
      </c>
      <c r="H12" s="14" t="s">
        <v>3</v>
      </c>
      <c r="I12" s="1"/>
    </row>
    <row r="13" spans="1:9" x14ac:dyDescent="0.25">
      <c r="A13" s="1"/>
      <c r="B13" s="121" t="s">
        <v>118</v>
      </c>
      <c r="C13" s="122"/>
      <c r="D13" s="122"/>
      <c r="E13" s="122"/>
      <c r="F13" s="123"/>
      <c r="G13" s="77">
        <v>0</v>
      </c>
      <c r="H13" s="14" t="s">
        <v>3</v>
      </c>
      <c r="I13" s="1"/>
    </row>
    <row r="14" spans="1:9" x14ac:dyDescent="0.25">
      <c r="A14" s="1"/>
      <c r="B14" s="143" t="s">
        <v>44</v>
      </c>
      <c r="C14" s="144"/>
      <c r="D14" s="144"/>
      <c r="E14" s="144"/>
      <c r="F14" s="145"/>
      <c r="G14" s="77">
        <v>0</v>
      </c>
      <c r="H14" s="14" t="s">
        <v>3</v>
      </c>
      <c r="I14" s="1"/>
    </row>
    <row r="15" spans="1:9" x14ac:dyDescent="0.25">
      <c r="A15" s="1"/>
      <c r="B15" s="136" t="s">
        <v>45</v>
      </c>
      <c r="C15" s="137"/>
      <c r="D15" s="137"/>
      <c r="E15" s="137"/>
      <c r="F15" s="138"/>
      <c r="G15" s="76">
        <f>SUM(G11:G14)*'Fane 15. Nøgletal'!C31</f>
        <v>913716.11946291302</v>
      </c>
      <c r="H15" s="14" t="s">
        <v>3</v>
      </c>
      <c r="I15" s="1"/>
    </row>
    <row r="16" spans="1:9" x14ac:dyDescent="0.25">
      <c r="A16" s="1"/>
      <c r="B16" s="32"/>
      <c r="C16" s="27"/>
      <c r="D16" s="27"/>
      <c r="E16" s="27"/>
      <c r="F16" s="27"/>
      <c r="G16" s="78"/>
      <c r="H16" s="19"/>
      <c r="I16" s="1"/>
    </row>
    <row r="17" spans="1:9" x14ac:dyDescent="0.25">
      <c r="A17" s="1"/>
      <c r="B17" s="1"/>
      <c r="C17" s="1"/>
      <c r="D17" s="1"/>
      <c r="E17" s="1"/>
      <c r="F17" s="1"/>
      <c r="G17" s="79"/>
      <c r="H17" s="1"/>
      <c r="I17" s="1"/>
    </row>
    <row r="18" spans="1:9" x14ac:dyDescent="0.25">
      <c r="A18" s="1"/>
      <c r="B18" s="131" t="s">
        <v>54</v>
      </c>
      <c r="C18" s="132"/>
      <c r="D18" s="132"/>
      <c r="E18" s="132"/>
      <c r="F18" s="132"/>
      <c r="G18" s="139"/>
      <c r="H18" s="133"/>
      <c r="I18" s="1"/>
    </row>
    <row r="19" spans="1:9" x14ac:dyDescent="0.25">
      <c r="A19" s="1"/>
      <c r="B19" s="136" t="s">
        <v>46</v>
      </c>
      <c r="C19" s="137"/>
      <c r="D19" s="137"/>
      <c r="E19" s="137"/>
      <c r="F19" s="138"/>
      <c r="G19" s="76">
        <f>(SUM(G11:G12,G14)-(G15))*(1+'Fane 15. Nøgletal'!C10)</f>
        <v>45555601.426122189</v>
      </c>
      <c r="H19" s="14" t="s">
        <v>3</v>
      </c>
      <c r="I19" s="1"/>
    </row>
    <row r="20" spans="1:9" x14ac:dyDescent="0.25">
      <c r="A20" s="1"/>
      <c r="B20" s="143" t="s">
        <v>47</v>
      </c>
      <c r="C20" s="144"/>
      <c r="D20" s="144"/>
      <c r="E20" s="144"/>
      <c r="F20" s="145"/>
      <c r="G20" s="77">
        <v>7669400.3692116085</v>
      </c>
      <c r="H20" s="14" t="s">
        <v>3</v>
      </c>
      <c r="I20" s="1"/>
    </row>
    <row r="21" spans="1:9" x14ac:dyDescent="0.25">
      <c r="A21" s="1"/>
      <c r="B21" s="136" t="s">
        <v>48</v>
      </c>
      <c r="C21" s="137"/>
      <c r="D21" s="137"/>
      <c r="E21" s="137"/>
      <c r="F21" s="138"/>
      <c r="G21" s="76">
        <f>SUM(G19:G20)*'Fane 15. Nøgletal'!C31</f>
        <v>1064500.035906676</v>
      </c>
      <c r="H21" s="14" t="s">
        <v>3</v>
      </c>
      <c r="I21" s="1"/>
    </row>
    <row r="22" spans="1:9" x14ac:dyDescent="0.25">
      <c r="A22" s="1"/>
      <c r="B22" s="32"/>
      <c r="C22" s="27"/>
      <c r="D22" s="27"/>
      <c r="E22" s="27"/>
      <c r="F22" s="27"/>
      <c r="G22" s="78"/>
      <c r="H22" s="19"/>
      <c r="I22" s="1"/>
    </row>
    <row r="23" spans="1:9" x14ac:dyDescent="0.25">
      <c r="A23" s="1"/>
      <c r="B23" s="1"/>
      <c r="C23" s="1"/>
      <c r="D23" s="1"/>
      <c r="E23" s="1"/>
      <c r="F23" s="1"/>
      <c r="G23" s="79"/>
      <c r="H23" s="1"/>
      <c r="I23" s="1"/>
    </row>
    <row r="24" spans="1:9" x14ac:dyDescent="0.25">
      <c r="A24" s="1"/>
      <c r="B24" s="131" t="s">
        <v>55</v>
      </c>
      <c r="C24" s="132"/>
      <c r="D24" s="132"/>
      <c r="E24" s="132"/>
      <c r="F24" s="132"/>
      <c r="G24" s="139"/>
      <c r="H24" s="133"/>
      <c r="I24" s="1"/>
    </row>
    <row r="25" spans="1:9" x14ac:dyDescent="0.25">
      <c r="A25" s="1"/>
      <c r="B25" s="136" t="s">
        <v>49</v>
      </c>
      <c r="C25" s="137"/>
      <c r="D25" s="137"/>
      <c r="E25" s="137"/>
      <c r="F25" s="138"/>
      <c r="G25" s="76">
        <f>(G19+G20-G21)*(1+'Fane 15. Nøgletal'!C12)</f>
        <v>53188063.644087836</v>
      </c>
      <c r="H25" s="14" t="s">
        <v>3</v>
      </c>
      <c r="I25" s="1"/>
    </row>
    <row r="26" spans="1:9" x14ac:dyDescent="0.25">
      <c r="A26" s="1"/>
      <c r="B26" s="143" t="s">
        <v>50</v>
      </c>
      <c r="C26" s="144"/>
      <c r="D26" s="144"/>
      <c r="E26" s="144"/>
      <c r="F26" s="145"/>
      <c r="G26" s="77">
        <v>-7480050.148442857</v>
      </c>
      <c r="H26" s="14" t="s">
        <v>3</v>
      </c>
      <c r="I26" s="1"/>
    </row>
    <row r="27" spans="1:9" x14ac:dyDescent="0.25">
      <c r="A27" s="1"/>
      <c r="B27" s="136" t="s">
        <v>51</v>
      </c>
      <c r="C27" s="137"/>
      <c r="D27" s="137"/>
      <c r="E27" s="137"/>
      <c r="F27" s="138"/>
      <c r="G27" s="76">
        <f>(G25+G26)*'Fane 15. Nøgletal'!C31</f>
        <v>914160.26991289959</v>
      </c>
      <c r="H27" s="14" t="s">
        <v>3</v>
      </c>
      <c r="I27" s="1"/>
    </row>
    <row r="28" spans="1:9" x14ac:dyDescent="0.25">
      <c r="A28" s="1"/>
      <c r="B28" s="32"/>
      <c r="C28" s="27"/>
      <c r="D28" s="27"/>
      <c r="E28" s="27"/>
      <c r="F28" s="27"/>
      <c r="G28" s="78"/>
      <c r="H28" s="19"/>
      <c r="I28" s="1"/>
    </row>
    <row r="29" spans="1:9" x14ac:dyDescent="0.25">
      <c r="A29" s="1"/>
      <c r="B29" s="1"/>
      <c r="C29" s="1"/>
      <c r="D29" s="1"/>
      <c r="E29" s="1"/>
      <c r="F29" s="1"/>
      <c r="G29" s="79"/>
      <c r="H29" s="1"/>
      <c r="I29" s="1"/>
    </row>
    <row r="30" spans="1:9" x14ac:dyDescent="0.25">
      <c r="A30" s="1"/>
      <c r="B30" s="131" t="s">
        <v>58</v>
      </c>
      <c r="C30" s="132"/>
      <c r="D30" s="132"/>
      <c r="E30" s="132"/>
      <c r="F30" s="132"/>
      <c r="G30" s="139"/>
      <c r="H30" s="133"/>
      <c r="I30" s="1"/>
    </row>
    <row r="31" spans="1:9" x14ac:dyDescent="0.25">
      <c r="A31" s="1"/>
      <c r="B31" s="136" t="s">
        <v>59</v>
      </c>
      <c r="C31" s="137"/>
      <c r="D31" s="137"/>
      <c r="E31" s="137"/>
      <c r="F31" s="138"/>
      <c r="G31" s="76">
        <f>(G25+G26-G27)*(1+'Fane 15. Nøgletal'!C12)</f>
        <v>45676292.134279005</v>
      </c>
      <c r="H31" s="14" t="s">
        <v>3</v>
      </c>
      <c r="I31" s="1"/>
    </row>
    <row r="32" spans="1:9" x14ac:dyDescent="0.25">
      <c r="A32" s="1"/>
      <c r="B32" s="136" t="s">
        <v>137</v>
      </c>
      <c r="C32" s="137"/>
      <c r="D32" s="137"/>
      <c r="E32" s="137"/>
      <c r="F32" s="138"/>
      <c r="G32" s="76">
        <v>71128.278668159997</v>
      </c>
      <c r="H32" s="14" t="s">
        <v>3</v>
      </c>
      <c r="I32" s="1"/>
    </row>
    <row r="33" spans="1:9" x14ac:dyDescent="0.25">
      <c r="A33" s="1"/>
      <c r="B33" s="136" t="s">
        <v>60</v>
      </c>
      <c r="C33" s="137"/>
      <c r="D33" s="137"/>
      <c r="E33" s="137"/>
      <c r="F33" s="138"/>
      <c r="G33" s="76">
        <f>(G31+G32)*'Fane 15. Nøgletal'!C31</f>
        <v>914948.40825894324</v>
      </c>
      <c r="H33" s="14" t="s">
        <v>3</v>
      </c>
      <c r="I33" s="1"/>
    </row>
    <row r="34" spans="1:9" x14ac:dyDescent="0.25">
      <c r="A34" s="1"/>
      <c r="B34" s="32"/>
      <c r="C34" s="27"/>
      <c r="D34" s="27"/>
      <c r="E34" s="27"/>
      <c r="F34" s="27"/>
      <c r="G34" s="78"/>
      <c r="H34" s="19"/>
      <c r="I34" s="1"/>
    </row>
    <row r="35" spans="1:9" x14ac:dyDescent="0.25">
      <c r="A35" s="1"/>
      <c r="B35" s="1"/>
      <c r="C35" s="1"/>
      <c r="D35" s="1"/>
      <c r="E35" s="1"/>
      <c r="F35" s="1"/>
      <c r="G35" s="79"/>
      <c r="H35" s="1"/>
      <c r="I35" s="1"/>
    </row>
    <row r="36" spans="1:9" x14ac:dyDescent="0.25">
      <c r="A36" s="1"/>
      <c r="B36" s="131" t="s">
        <v>160</v>
      </c>
      <c r="C36" s="132"/>
      <c r="D36" s="132"/>
      <c r="E36" s="132"/>
      <c r="F36" s="132"/>
      <c r="G36" s="139"/>
      <c r="H36" s="133"/>
      <c r="I36" s="1"/>
    </row>
    <row r="37" spans="1:9" x14ac:dyDescent="0.25">
      <c r="A37" s="1"/>
      <c r="B37" s="136" t="s">
        <v>79</v>
      </c>
      <c r="C37" s="137"/>
      <c r="D37" s="137"/>
      <c r="E37" s="137"/>
      <c r="F37" s="138"/>
      <c r="G37" s="76">
        <f>(G31+G32-G33)*(1+'Fane 15. Nøgletal'!C14)</f>
        <v>44980419.162303694</v>
      </c>
      <c r="H37" s="14" t="s">
        <v>3</v>
      </c>
      <c r="I37" s="1"/>
    </row>
    <row r="38" spans="1:9" x14ac:dyDescent="0.25">
      <c r="A38" s="1"/>
      <c r="B38" s="136" t="s">
        <v>164</v>
      </c>
      <c r="C38" s="137"/>
      <c r="D38" s="137"/>
      <c r="E38" s="137"/>
      <c r="F38" s="138"/>
      <c r="G38" s="76">
        <v>83088.682693270006</v>
      </c>
      <c r="H38" s="14" t="s">
        <v>3</v>
      </c>
      <c r="I38" s="1"/>
    </row>
    <row r="39" spans="1:9" x14ac:dyDescent="0.25">
      <c r="A39" s="1"/>
      <c r="B39" s="136" t="s">
        <v>162</v>
      </c>
      <c r="C39" s="137"/>
      <c r="D39" s="137"/>
      <c r="E39" s="137"/>
      <c r="F39" s="138"/>
      <c r="G39" s="76">
        <f>(G37+G38)*'Fane 15. Nøgletal'!C31</f>
        <v>901270.15689993929</v>
      </c>
      <c r="H39" s="14" t="s">
        <v>3</v>
      </c>
      <c r="I39" s="1"/>
    </row>
    <row r="40" spans="1:9" x14ac:dyDescent="0.25">
      <c r="A40" s="1"/>
      <c r="B40" s="32"/>
      <c r="C40" s="27"/>
      <c r="D40" s="27"/>
      <c r="E40" s="27"/>
      <c r="F40" s="27"/>
      <c r="G40" s="78"/>
      <c r="H40" s="19"/>
      <c r="I40" s="1"/>
    </row>
    <row r="41" spans="1:9" x14ac:dyDescent="0.25">
      <c r="A41" s="1"/>
      <c r="B41" s="1"/>
      <c r="C41" s="1"/>
      <c r="D41" s="1"/>
      <c r="E41" s="1"/>
      <c r="F41" s="1"/>
      <c r="G41" s="79"/>
      <c r="H41" s="1"/>
      <c r="I41" s="1"/>
    </row>
    <row r="42" spans="1:9" x14ac:dyDescent="0.25">
      <c r="A42" s="1"/>
      <c r="B42" s="131" t="s">
        <v>161</v>
      </c>
      <c r="C42" s="132"/>
      <c r="D42" s="132"/>
      <c r="E42" s="132"/>
      <c r="F42" s="132"/>
      <c r="G42" s="139"/>
      <c r="H42" s="133"/>
      <c r="I42" s="1"/>
    </row>
    <row r="43" spans="1:9" x14ac:dyDescent="0.25">
      <c r="A43" s="1"/>
      <c r="B43" s="136" t="s">
        <v>228</v>
      </c>
      <c r="C43" s="137"/>
      <c r="D43" s="137"/>
      <c r="E43" s="137"/>
      <c r="F43" s="138"/>
      <c r="G43" s="76">
        <f>(G37+G38-G39)*(1+'Fane 15. Nøgletal'!C14)</f>
        <v>44307973.072467752</v>
      </c>
      <c r="H43" s="14" t="s">
        <v>3</v>
      </c>
      <c r="I43" s="1"/>
    </row>
    <row r="44" spans="1:9" x14ac:dyDescent="0.25">
      <c r="A44" s="1"/>
      <c r="B44" s="140" t="s">
        <v>230</v>
      </c>
      <c r="C44" s="141"/>
      <c r="D44" s="141"/>
      <c r="E44" s="141"/>
      <c r="F44" s="142"/>
      <c r="G44" s="80">
        <f>('Fane 2.1. Økonomisk ramme 2023'!C10+'Fane 2.1. Økonomisk ramme 2023'!C12+'Fane 2.1. Økonomisk ramme 2023'!C14)*(1+'Fane 15. Nøgletal'!C15)</f>
        <v>310869.67883904005</v>
      </c>
      <c r="H44" s="14" t="s">
        <v>3</v>
      </c>
      <c r="I44" s="1"/>
    </row>
    <row r="45" spans="1:9" x14ac:dyDescent="0.25">
      <c r="A45" s="1"/>
      <c r="B45" s="136" t="s">
        <v>163</v>
      </c>
      <c r="C45" s="137"/>
      <c r="D45" s="137"/>
      <c r="E45" s="137"/>
      <c r="F45" s="138"/>
      <c r="G45" s="76">
        <f>SUM(G43:G44)*'Fane 15. Nøgletal'!C31</f>
        <v>892376.85502613592</v>
      </c>
      <c r="H45" s="14" t="s">
        <v>3</v>
      </c>
      <c r="I45" s="1"/>
    </row>
    <row r="46" spans="1:9" x14ac:dyDescent="0.25">
      <c r="A46" s="1"/>
      <c r="B46" s="32"/>
      <c r="C46" s="27"/>
      <c r="D46" s="27"/>
      <c r="E46" s="27"/>
      <c r="F46" s="27"/>
      <c r="G46" s="78"/>
      <c r="H46" s="19"/>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31" t="s">
        <v>241</v>
      </c>
      <c r="C51" s="132"/>
      <c r="D51" s="132"/>
      <c r="E51" s="132"/>
      <c r="F51" s="132"/>
      <c r="G51" s="139"/>
      <c r="H51" s="133"/>
      <c r="I51" s="1"/>
    </row>
    <row r="52" spans="1:9" x14ac:dyDescent="0.25">
      <c r="A52" s="1"/>
      <c r="B52" s="136" t="s">
        <v>227</v>
      </c>
      <c r="C52" s="137"/>
      <c r="D52" s="137"/>
      <c r="E52" s="137"/>
      <c r="F52" s="138"/>
      <c r="G52" s="76">
        <f>(G43+G44-G45)*(1+'Fane 15. Nøgletal'!C15)</f>
        <v>45283128.082188256</v>
      </c>
      <c r="H52" s="14" t="s">
        <v>3</v>
      </c>
      <c r="I52" s="1"/>
    </row>
    <row r="53" spans="1:9" x14ac:dyDescent="0.25">
      <c r="A53" s="1"/>
      <c r="B53" s="136" t="s">
        <v>138</v>
      </c>
      <c r="C53" s="137"/>
      <c r="D53" s="137"/>
      <c r="E53" s="137"/>
      <c r="F53" s="138"/>
      <c r="G53" s="76">
        <f>(G52)*'Fane 15. Nøgletal'!C31</f>
        <v>905662.56164376519</v>
      </c>
      <c r="H53" s="14" t="s">
        <v>3</v>
      </c>
      <c r="I53" s="1"/>
    </row>
    <row r="54" spans="1:9" x14ac:dyDescent="0.25">
      <c r="A54" s="1"/>
      <c r="B54" s="32"/>
      <c r="C54" s="27"/>
      <c r="D54" s="27"/>
      <c r="E54" s="27"/>
      <c r="F54" s="27"/>
      <c r="G54" s="78"/>
      <c r="H54" s="19"/>
      <c r="I54" s="1"/>
    </row>
    <row r="55" spans="1:9" x14ac:dyDescent="0.25">
      <c r="A55" s="1"/>
      <c r="B55" s="1"/>
      <c r="C55" s="1"/>
      <c r="D55" s="1"/>
      <c r="E55" s="1"/>
      <c r="F55" s="1"/>
      <c r="G55" s="79"/>
      <c r="H55" s="1"/>
      <c r="I55" s="1"/>
    </row>
    <row r="56" spans="1:9" x14ac:dyDescent="0.25">
      <c r="A56" s="1"/>
      <c r="B56" s="131" t="s">
        <v>150</v>
      </c>
      <c r="C56" s="132"/>
      <c r="D56" s="132"/>
      <c r="E56" s="132"/>
      <c r="F56" s="132"/>
      <c r="G56" s="139"/>
      <c r="H56" s="133"/>
      <c r="I56" s="1"/>
    </row>
    <row r="57" spans="1:9" x14ac:dyDescent="0.25">
      <c r="A57" s="1"/>
      <c r="B57" s="91" t="s">
        <v>151</v>
      </c>
      <c r="C57" s="92"/>
      <c r="D57" s="92"/>
      <c r="E57" s="92"/>
      <c r="F57" s="93"/>
      <c r="G57" s="76">
        <f>(G52-G53)*(1+'Fane 15. Nøgletal'!C15)</f>
        <v>45957303.293075882</v>
      </c>
      <c r="H57" s="14" t="s">
        <v>3</v>
      </c>
      <c r="I57" s="1"/>
    </row>
    <row r="58" spans="1:9" x14ac:dyDescent="0.25">
      <c r="A58" s="1"/>
      <c r="B58" s="91" t="s">
        <v>152</v>
      </c>
      <c r="C58" s="92"/>
      <c r="D58" s="92"/>
      <c r="E58" s="92"/>
      <c r="F58" s="93"/>
      <c r="G58" s="76">
        <f>(G57)*'Fane 15. Nøgletal'!C31</f>
        <v>919146.06586151768</v>
      </c>
      <c r="H58" s="14" t="s">
        <v>3</v>
      </c>
      <c r="I58" s="1"/>
    </row>
    <row r="59" spans="1:9" x14ac:dyDescent="0.25">
      <c r="A59" s="1"/>
      <c r="B59" s="32"/>
      <c r="C59" s="27"/>
      <c r="D59" s="27"/>
      <c r="E59" s="27"/>
      <c r="F59" s="27"/>
      <c r="G59" s="78"/>
      <c r="H59" s="19"/>
      <c r="I59" s="1"/>
    </row>
    <row r="60" spans="1:9" x14ac:dyDescent="0.25">
      <c r="A60" s="1"/>
      <c r="B60" s="1"/>
      <c r="C60" s="1"/>
      <c r="D60" s="1"/>
      <c r="E60" s="1"/>
      <c r="F60" s="1"/>
      <c r="G60" s="79"/>
      <c r="H60" s="1"/>
      <c r="I60" s="1"/>
    </row>
    <row r="61" spans="1:9" x14ac:dyDescent="0.25">
      <c r="A61" s="1"/>
      <c r="B61" s="131" t="s">
        <v>193</v>
      </c>
      <c r="C61" s="132"/>
      <c r="D61" s="132"/>
      <c r="E61" s="132"/>
      <c r="F61" s="132"/>
      <c r="G61" s="139"/>
      <c r="H61" s="133"/>
      <c r="I61" s="1"/>
    </row>
    <row r="62" spans="1:9" x14ac:dyDescent="0.25">
      <c r="A62" s="1"/>
      <c r="B62" s="91" t="s">
        <v>194</v>
      </c>
      <c r="C62" s="92"/>
      <c r="D62" s="92"/>
      <c r="E62" s="92"/>
      <c r="F62" s="93"/>
      <c r="G62" s="76">
        <f>(G57-G58)*(1+'Fane 15. Nøgletal'!C15)</f>
        <v>46641515.624503203</v>
      </c>
      <c r="H62" s="14" t="s">
        <v>3</v>
      </c>
      <c r="I62" s="1"/>
    </row>
    <row r="63" spans="1:9" x14ac:dyDescent="0.25">
      <c r="A63" s="1"/>
      <c r="B63" s="91" t="s">
        <v>195</v>
      </c>
      <c r="C63" s="92"/>
      <c r="D63" s="92"/>
      <c r="E63" s="92"/>
      <c r="F63" s="93"/>
      <c r="G63" s="76">
        <f>(G62)*'Fane 15. Nøgletal'!C31</f>
        <v>932830.31249006407</v>
      </c>
      <c r="H63" s="14" t="s">
        <v>3</v>
      </c>
      <c r="I63" s="1"/>
    </row>
    <row r="64" spans="1:9" x14ac:dyDescent="0.25">
      <c r="A64" s="1"/>
      <c r="B64" s="32"/>
      <c r="C64" s="27"/>
      <c r="D64" s="27"/>
      <c r="E64" s="27"/>
      <c r="F64" s="27"/>
      <c r="G64" s="27"/>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0"/>
    </row>
  </sheetData>
  <sheetProtection algorithmName="SHA-512" hashValue="6wSNFnkCyrSmr4Y9Dh9zHoX6PSXSHmFtgc+iTLRUFjAH5zBNpMmL3LBF2WSB7poFnUkzWV26LKx1E8F9crv5FQ==" saltValue="CYH93HR12GX5fs1/gZwFLg==" spinCount="100000" sheet="1" objects="1" scenarios="1"/>
  <mergeCells count="36">
    <mergeCell ref="B6:F6"/>
    <mergeCell ref="B2:H3"/>
    <mergeCell ref="B24:H24"/>
    <mergeCell ref="B4:H4"/>
    <mergeCell ref="B5:F5"/>
    <mergeCell ref="B7:F7"/>
    <mergeCell ref="B12:F12"/>
    <mergeCell ref="B13:F13"/>
    <mergeCell ref="B18:H18"/>
    <mergeCell ref="B14:F1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53:F53"/>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3.140625" style="2" customWidth="1"/>
    <col min="2" max="5" width="9.140625" style="2"/>
    <col min="6" max="6" width="26.140625" style="2" customWidth="1"/>
    <col min="7" max="7" width="14.140625" style="2" customWidth="1"/>
    <col min="8" max="8" width="3.28515625" style="2" customWidth="1"/>
    <col min="9" max="9" width="3" style="2" customWidth="1"/>
    <col min="10" max="16384" width="9.140625" style="2"/>
  </cols>
  <sheetData>
    <row r="1" spans="1:9" ht="14.25" customHeight="1" x14ac:dyDescent="0.25">
      <c r="A1" s="1"/>
      <c r="B1" s="146" t="s">
        <v>110</v>
      </c>
      <c r="C1" s="146"/>
      <c r="D1" s="146"/>
      <c r="E1" s="146"/>
      <c r="F1" s="146"/>
      <c r="G1" s="146"/>
      <c r="H1" s="146"/>
      <c r="I1" s="1"/>
    </row>
    <row r="2" spans="1:9" ht="15" customHeight="1" x14ac:dyDescent="0.25">
      <c r="A2" s="1"/>
      <c r="B2" s="146"/>
      <c r="C2" s="146"/>
      <c r="D2" s="146"/>
      <c r="E2" s="146"/>
      <c r="F2" s="146"/>
      <c r="G2" s="146"/>
      <c r="H2" s="146"/>
      <c r="I2" s="1"/>
    </row>
    <row r="3" spans="1:9" ht="15" customHeight="1" x14ac:dyDescent="0.25">
      <c r="A3" s="1"/>
      <c r="B3" s="147"/>
      <c r="C3" s="147"/>
      <c r="D3" s="147"/>
      <c r="E3" s="147"/>
      <c r="F3" s="147"/>
      <c r="G3" s="147"/>
      <c r="H3" s="147"/>
      <c r="I3" s="1"/>
    </row>
    <row r="4" spans="1:9" x14ac:dyDescent="0.25">
      <c r="A4" s="1"/>
      <c r="B4" s="131" t="s">
        <v>56</v>
      </c>
      <c r="C4" s="132"/>
      <c r="D4" s="132"/>
      <c r="E4" s="132"/>
      <c r="F4" s="132"/>
      <c r="G4" s="132"/>
      <c r="H4" s="133"/>
      <c r="I4" s="1"/>
    </row>
    <row r="5" spans="1:9" x14ac:dyDescent="0.25">
      <c r="A5" s="1"/>
      <c r="B5" s="136" t="s">
        <v>61</v>
      </c>
      <c r="C5" s="137"/>
      <c r="D5" s="137"/>
      <c r="E5" s="137"/>
      <c r="F5" s="138"/>
      <c r="G5" s="76">
        <v>116607776.06762949</v>
      </c>
      <c r="H5" s="14" t="s">
        <v>3</v>
      </c>
      <c r="I5" s="1"/>
    </row>
    <row r="6" spans="1:9" x14ac:dyDescent="0.25">
      <c r="A6" s="1"/>
      <c r="B6" s="136" t="s">
        <v>57</v>
      </c>
      <c r="C6" s="137"/>
      <c r="D6" s="137"/>
      <c r="E6" s="137"/>
      <c r="F6" s="138"/>
      <c r="G6" s="76">
        <f>G5*'Fane 15. Nøgletal'!C20</f>
        <v>1061130.7622154283</v>
      </c>
      <c r="H6" s="14" t="s">
        <v>3</v>
      </c>
      <c r="I6" s="1"/>
    </row>
    <row r="7" spans="1:9" x14ac:dyDescent="0.25">
      <c r="A7" s="1"/>
      <c r="B7" s="32"/>
      <c r="C7" s="27"/>
      <c r="D7" s="27"/>
      <c r="E7" s="27"/>
      <c r="F7" s="27"/>
      <c r="G7" s="78"/>
      <c r="H7" s="19"/>
      <c r="I7" s="1"/>
    </row>
    <row r="8" spans="1:9" x14ac:dyDescent="0.25">
      <c r="A8" s="1"/>
      <c r="B8" s="1"/>
      <c r="C8" s="1"/>
      <c r="D8" s="1"/>
      <c r="E8" s="1"/>
      <c r="F8" s="1"/>
      <c r="G8" s="79"/>
      <c r="H8" s="1"/>
      <c r="I8" s="1"/>
    </row>
    <row r="9" spans="1:9" x14ac:dyDescent="0.25">
      <c r="A9" s="1"/>
      <c r="B9" s="131" t="s">
        <v>62</v>
      </c>
      <c r="C9" s="132"/>
      <c r="D9" s="132"/>
      <c r="E9" s="132"/>
      <c r="F9" s="132"/>
      <c r="G9" s="139"/>
      <c r="H9" s="133"/>
      <c r="I9" s="1"/>
    </row>
    <row r="10" spans="1:9" x14ac:dyDescent="0.25">
      <c r="A10" s="1"/>
      <c r="B10" s="136" t="s">
        <v>63</v>
      </c>
      <c r="C10" s="137"/>
      <c r="D10" s="137"/>
      <c r="E10" s="137"/>
      <c r="F10" s="138"/>
      <c r="G10" s="76">
        <f>(G5-G6)*(1+'Fane 15. Nøgletal'!C10)</f>
        <v>117568711.59825881</v>
      </c>
      <c r="H10" s="14" t="s">
        <v>3</v>
      </c>
      <c r="I10" s="1"/>
    </row>
    <row r="11" spans="1:9" x14ac:dyDescent="0.25">
      <c r="A11" s="1"/>
      <c r="B11" s="136" t="s">
        <v>122</v>
      </c>
      <c r="C11" s="137"/>
      <c r="D11" s="137"/>
      <c r="E11" s="137"/>
      <c r="F11" s="138"/>
      <c r="G11" s="76">
        <v>-165378.52922006062</v>
      </c>
      <c r="H11" s="14" t="s">
        <v>3</v>
      </c>
      <c r="I11" s="1"/>
    </row>
    <row r="12" spans="1:9" x14ac:dyDescent="0.25">
      <c r="A12" s="1"/>
      <c r="B12" s="143" t="s">
        <v>64</v>
      </c>
      <c r="C12" s="144"/>
      <c r="D12" s="144"/>
      <c r="E12" s="144"/>
      <c r="F12" s="145"/>
      <c r="G12" s="77">
        <v>0</v>
      </c>
      <c r="H12" s="14" t="s">
        <v>3</v>
      </c>
      <c r="I12" s="1"/>
    </row>
    <row r="13" spans="1:9" x14ac:dyDescent="0.25">
      <c r="A13" s="1"/>
      <c r="B13" s="136" t="s">
        <v>65</v>
      </c>
      <c r="C13" s="137"/>
      <c r="D13" s="137"/>
      <c r="E13" s="137"/>
      <c r="F13" s="138"/>
      <c r="G13" s="76">
        <f>SUM(G10:G12)*'Fane 15. Nøgletal'!C21</f>
        <v>2078038.9953219858</v>
      </c>
      <c r="H13" s="14" t="s">
        <v>3</v>
      </c>
      <c r="I13" s="1"/>
    </row>
    <row r="14" spans="1:9" x14ac:dyDescent="0.25">
      <c r="A14" s="1"/>
      <c r="B14" s="32"/>
      <c r="C14" s="27"/>
      <c r="D14" s="27"/>
      <c r="E14" s="27"/>
      <c r="F14" s="27"/>
      <c r="G14" s="78"/>
      <c r="H14" s="19"/>
      <c r="I14" s="1"/>
    </row>
    <row r="15" spans="1:9" x14ac:dyDescent="0.25">
      <c r="A15" s="1"/>
      <c r="B15" s="1"/>
      <c r="C15" s="1"/>
      <c r="D15" s="1"/>
      <c r="E15" s="1"/>
      <c r="F15" s="1"/>
      <c r="G15" s="79"/>
      <c r="H15" s="1"/>
      <c r="I15" s="1"/>
    </row>
    <row r="16" spans="1:9" x14ac:dyDescent="0.25">
      <c r="A16" s="1"/>
      <c r="B16" s="131" t="s">
        <v>66</v>
      </c>
      <c r="C16" s="132"/>
      <c r="D16" s="132"/>
      <c r="E16" s="132"/>
      <c r="F16" s="132"/>
      <c r="G16" s="139"/>
      <c r="H16" s="133"/>
      <c r="I16" s="1"/>
    </row>
    <row r="17" spans="1:9" x14ac:dyDescent="0.25">
      <c r="A17" s="1"/>
      <c r="B17" s="136" t="s">
        <v>67</v>
      </c>
      <c r="C17" s="137"/>
      <c r="D17" s="137"/>
      <c r="E17" s="137"/>
      <c r="F17" s="138"/>
      <c r="G17" s="76">
        <f>(SUM(G10:G12)-G13)*(1+'Fane 15. Nøgletal'!C10)</f>
        <v>117343486.72000681</v>
      </c>
      <c r="H17" s="14" t="s">
        <v>3</v>
      </c>
      <c r="I17" s="1"/>
    </row>
    <row r="18" spans="1:9" x14ac:dyDescent="0.25">
      <c r="A18" s="1"/>
      <c r="B18" s="143" t="s">
        <v>68</v>
      </c>
      <c r="C18" s="144"/>
      <c r="D18" s="144"/>
      <c r="E18" s="144"/>
      <c r="F18" s="145"/>
      <c r="G18" s="76">
        <v>1441061.3767572097</v>
      </c>
      <c r="H18" s="14" t="s">
        <v>3</v>
      </c>
      <c r="I18" s="1"/>
    </row>
    <row r="19" spans="1:9" x14ac:dyDescent="0.25">
      <c r="A19" s="1"/>
      <c r="B19" s="136" t="s">
        <v>69</v>
      </c>
      <c r="C19" s="137"/>
      <c r="D19" s="137"/>
      <c r="E19" s="137"/>
      <c r="F19" s="138"/>
      <c r="G19" s="76">
        <f>G17*'Fane 15. Nøgletal'!C21+G18*'Fane 15. Nøgletal'!C22</f>
        <v>2089516.9489219082</v>
      </c>
      <c r="H19" s="14" t="s">
        <v>3</v>
      </c>
      <c r="I19" s="1"/>
    </row>
    <row r="20" spans="1:9" x14ac:dyDescent="0.25">
      <c r="A20" s="1"/>
      <c r="B20" s="32"/>
      <c r="C20" s="27"/>
      <c r="D20" s="27"/>
      <c r="E20" s="27"/>
      <c r="F20" s="27"/>
      <c r="G20" s="78"/>
      <c r="H20" s="19"/>
      <c r="I20" s="1"/>
    </row>
    <row r="21" spans="1:9" x14ac:dyDescent="0.25">
      <c r="A21" s="1"/>
      <c r="B21" s="1"/>
      <c r="C21" s="1"/>
      <c r="D21" s="1"/>
      <c r="E21" s="1"/>
      <c r="F21" s="1"/>
      <c r="G21" s="79"/>
      <c r="H21" s="1"/>
      <c r="I21" s="1"/>
    </row>
    <row r="22" spans="1:9" x14ac:dyDescent="0.25">
      <c r="A22" s="1"/>
      <c r="B22" s="131" t="s">
        <v>70</v>
      </c>
      <c r="C22" s="132"/>
      <c r="D22" s="132"/>
      <c r="E22" s="132"/>
      <c r="F22" s="132"/>
      <c r="G22" s="139"/>
      <c r="H22" s="133"/>
      <c r="I22" s="1"/>
    </row>
    <row r="23" spans="1:9" x14ac:dyDescent="0.25">
      <c r="A23" s="1"/>
      <c r="B23" s="136" t="s">
        <v>71</v>
      </c>
      <c r="C23" s="137"/>
      <c r="D23" s="137"/>
      <c r="E23" s="137"/>
      <c r="F23" s="138"/>
      <c r="G23" s="76">
        <f>(G17+G18-G19)*(1+'Fane 15. Nøgletal'!C12)</f>
        <v>118993923.26145461</v>
      </c>
      <c r="H23" s="14" t="s">
        <v>3</v>
      </c>
      <c r="I23" s="1"/>
    </row>
    <row r="24" spans="1:9" x14ac:dyDescent="0.25">
      <c r="A24" s="1"/>
      <c r="B24" s="143" t="s">
        <v>72</v>
      </c>
      <c r="C24" s="144"/>
      <c r="D24" s="144"/>
      <c r="E24" s="144"/>
      <c r="F24" s="145"/>
      <c r="G24" s="76">
        <v>982441.45464309899</v>
      </c>
      <c r="H24" s="14" t="s">
        <v>3</v>
      </c>
      <c r="I24" s="1"/>
    </row>
    <row r="25" spans="1:9" x14ac:dyDescent="0.25">
      <c r="A25" s="1"/>
      <c r="B25" s="136" t="s">
        <v>73</v>
      </c>
      <c r="C25" s="137"/>
      <c r="D25" s="137"/>
      <c r="E25" s="137"/>
      <c r="F25" s="138"/>
      <c r="G25" s="76">
        <f>(G23+G24)*'Fane 15. Nøgletal'!C23</f>
        <v>3407328.7579371752</v>
      </c>
      <c r="H25" s="14" t="s">
        <v>3</v>
      </c>
      <c r="I25" s="1"/>
    </row>
    <row r="26" spans="1:9" x14ac:dyDescent="0.25">
      <c r="A26" s="1"/>
      <c r="B26" s="32"/>
      <c r="C26" s="27"/>
      <c r="D26" s="27"/>
      <c r="E26" s="27"/>
      <c r="F26" s="27"/>
      <c r="G26" s="78"/>
      <c r="H26" s="19"/>
      <c r="I26" s="1"/>
    </row>
    <row r="27" spans="1:9" x14ac:dyDescent="0.25">
      <c r="A27" s="1"/>
      <c r="B27" s="1"/>
      <c r="C27" s="1"/>
      <c r="D27" s="1"/>
      <c r="E27" s="1"/>
      <c r="F27" s="1"/>
      <c r="G27" s="79"/>
      <c r="H27" s="1"/>
      <c r="I27" s="1"/>
    </row>
    <row r="28" spans="1:9" x14ac:dyDescent="0.25">
      <c r="A28" s="1"/>
      <c r="B28" s="131" t="s">
        <v>74</v>
      </c>
      <c r="C28" s="132"/>
      <c r="D28" s="132"/>
      <c r="E28" s="132"/>
      <c r="F28" s="132"/>
      <c r="G28" s="139"/>
      <c r="H28" s="133"/>
      <c r="I28" s="1"/>
    </row>
    <row r="29" spans="1:9" x14ac:dyDescent="0.25">
      <c r="A29" s="1"/>
      <c r="B29" s="136" t="s">
        <v>75</v>
      </c>
      <c r="C29" s="137"/>
      <c r="D29" s="137"/>
      <c r="E29" s="137"/>
      <c r="F29" s="138"/>
      <c r="G29" s="76">
        <f>(G23+G24-G25)*(1+'Fane 15. Nøgletal'!C12)</f>
        <v>118865445.9665363</v>
      </c>
      <c r="H29" s="14" t="s">
        <v>3</v>
      </c>
      <c r="I29" s="1"/>
    </row>
    <row r="30" spans="1:9" x14ac:dyDescent="0.25">
      <c r="A30" s="1"/>
      <c r="B30" s="136" t="s">
        <v>139</v>
      </c>
      <c r="C30" s="137"/>
      <c r="D30" s="137"/>
      <c r="E30" s="137"/>
      <c r="F30" s="138"/>
      <c r="G30" s="76">
        <v>632371.01047595998</v>
      </c>
      <c r="H30" s="14" t="s">
        <v>3</v>
      </c>
      <c r="I30" s="1"/>
    </row>
    <row r="31" spans="1:9" x14ac:dyDescent="0.25">
      <c r="A31" s="1"/>
      <c r="B31" s="136" t="s">
        <v>76</v>
      </c>
      <c r="C31" s="137"/>
      <c r="D31" s="137"/>
      <c r="E31" s="137"/>
      <c r="F31" s="138"/>
      <c r="G31" s="76">
        <f>G29*'Fane 15. Nøgletal'!C23+G30*'Fane 15. Nøgletal'!C24</f>
        <v>3393168.8682377199</v>
      </c>
      <c r="H31" s="14" t="s">
        <v>3</v>
      </c>
      <c r="I31" s="1"/>
    </row>
    <row r="32" spans="1:9" x14ac:dyDescent="0.25">
      <c r="A32" s="1"/>
      <c r="B32" s="32"/>
      <c r="C32" s="27"/>
      <c r="D32" s="27"/>
      <c r="E32" s="27"/>
      <c r="F32" s="27"/>
      <c r="G32" s="78"/>
      <c r="H32" s="19"/>
      <c r="I32" s="1"/>
    </row>
    <row r="33" spans="1:9" x14ac:dyDescent="0.25">
      <c r="A33" s="1"/>
      <c r="B33" s="1"/>
      <c r="C33" s="1"/>
      <c r="D33" s="1"/>
      <c r="E33" s="1"/>
      <c r="F33" s="1"/>
      <c r="G33" s="79"/>
      <c r="H33" s="1"/>
      <c r="I33" s="1"/>
    </row>
    <row r="34" spans="1:9" x14ac:dyDescent="0.25">
      <c r="A34" s="1"/>
      <c r="B34" s="131" t="s">
        <v>165</v>
      </c>
      <c r="C34" s="132"/>
      <c r="D34" s="132"/>
      <c r="E34" s="132"/>
      <c r="F34" s="132"/>
      <c r="G34" s="139"/>
      <c r="H34" s="133"/>
      <c r="I34" s="1"/>
    </row>
    <row r="35" spans="1:9" x14ac:dyDescent="0.25">
      <c r="A35" s="1"/>
      <c r="B35" s="136" t="s">
        <v>78</v>
      </c>
      <c r="C35" s="137"/>
      <c r="D35" s="137"/>
      <c r="E35" s="137"/>
      <c r="F35" s="138"/>
      <c r="G35" s="76">
        <f>(G29+G30-G31)*(1+'Fane 15. Nøgletal'!C14)</f>
        <v>116487793.4475335</v>
      </c>
      <c r="H35" s="14" t="s">
        <v>3</v>
      </c>
      <c r="I35" s="1"/>
    </row>
    <row r="36" spans="1:9" x14ac:dyDescent="0.25">
      <c r="A36" s="1"/>
      <c r="B36" s="136" t="s">
        <v>167</v>
      </c>
      <c r="C36" s="137"/>
      <c r="D36" s="137"/>
      <c r="E36" s="137"/>
      <c r="F36" s="138"/>
      <c r="G36" s="76">
        <v>826918.76680432016</v>
      </c>
      <c r="H36" s="14" t="s">
        <v>3</v>
      </c>
      <c r="I36" s="1"/>
    </row>
    <row r="37" spans="1:9" x14ac:dyDescent="0.25">
      <c r="A37" s="1"/>
      <c r="B37" s="136" t="s">
        <v>166</v>
      </c>
      <c r="C37" s="137"/>
      <c r="D37" s="137"/>
      <c r="E37" s="137"/>
      <c r="F37" s="138"/>
      <c r="G37" s="76">
        <f>(G35+G36)*'Fane 15. Nøgletal'!C25</f>
        <v>1736257.7407721998</v>
      </c>
      <c r="H37" s="14" t="s">
        <v>3</v>
      </c>
      <c r="I37" s="1"/>
    </row>
    <row r="38" spans="1:9" x14ac:dyDescent="0.25">
      <c r="A38" s="1"/>
      <c r="B38" s="32"/>
      <c r="C38" s="27"/>
      <c r="D38" s="27"/>
      <c r="E38" s="27"/>
      <c r="F38" s="27"/>
      <c r="G38" s="78"/>
      <c r="H38" s="19"/>
      <c r="I38" s="1"/>
    </row>
    <row r="39" spans="1:9" x14ac:dyDescent="0.25">
      <c r="A39" s="1"/>
      <c r="B39" s="1"/>
      <c r="C39" s="1"/>
      <c r="D39" s="1"/>
      <c r="E39" s="1"/>
      <c r="F39" s="1"/>
      <c r="G39" s="79"/>
      <c r="H39" s="1"/>
      <c r="I39" s="1"/>
    </row>
    <row r="40" spans="1:9" x14ac:dyDescent="0.25">
      <c r="A40" s="1"/>
      <c r="B40" s="131" t="s">
        <v>221</v>
      </c>
      <c r="C40" s="132"/>
      <c r="D40" s="132"/>
      <c r="E40" s="132"/>
      <c r="F40" s="132"/>
      <c r="G40" s="139"/>
      <c r="H40" s="133"/>
      <c r="I40" s="1"/>
    </row>
    <row r="41" spans="1:9" x14ac:dyDescent="0.25">
      <c r="A41" s="1"/>
      <c r="B41" s="136" t="s">
        <v>77</v>
      </c>
      <c r="C41" s="137"/>
      <c r="D41" s="137"/>
      <c r="E41" s="137"/>
      <c r="F41" s="138"/>
      <c r="G41" s="76">
        <f>(G35+G36-G37)*(1+'Fane 15. Nøgletal'!C14)</f>
        <v>115959863.3733284</v>
      </c>
      <c r="H41" s="14" t="s">
        <v>3</v>
      </c>
      <c r="I41" s="1"/>
    </row>
    <row r="42" spans="1:9" x14ac:dyDescent="0.25">
      <c r="A42" s="1"/>
      <c r="B42" s="43" t="s">
        <v>229</v>
      </c>
      <c r="C42" s="92"/>
      <c r="D42" s="92"/>
      <c r="E42" s="92"/>
      <c r="F42" s="93"/>
      <c r="G42" s="80">
        <f>('Fane 2.1. Økonomisk ramme 2023'!C11+'Fane 2.1. Økonomisk ramme 2023'!C13+'Fane 2.1. Økonomisk ramme 2023'!C15)*(1+'Fane 15. Nøgletal'!C15)</f>
        <v>2038076.8606647365</v>
      </c>
      <c r="H42" s="14" t="s">
        <v>3</v>
      </c>
      <c r="I42" s="1"/>
    </row>
    <row r="43" spans="1:9" x14ac:dyDescent="0.25">
      <c r="A43" s="1"/>
      <c r="B43" s="136" t="s">
        <v>168</v>
      </c>
      <c r="C43" s="137"/>
      <c r="D43" s="137"/>
      <c r="E43" s="137"/>
      <c r="F43" s="138"/>
      <c r="G43" s="76">
        <f>(G41)*'Fane 15. Nøgletal'!C25+G42*'Fane 15. Nøgletal'!C26</f>
        <v>1716205.9779252606</v>
      </c>
      <c r="H43" s="14" t="s">
        <v>3</v>
      </c>
      <c r="I43" s="1"/>
    </row>
    <row r="44" spans="1:9" x14ac:dyDescent="0.25">
      <c r="A44" s="1"/>
      <c r="B44" s="32"/>
      <c r="C44" s="27"/>
      <c r="D44" s="27"/>
      <c r="E44" s="27"/>
      <c r="F44" s="27"/>
      <c r="G44" s="78"/>
      <c r="H44" s="19"/>
      <c r="I44" s="1"/>
    </row>
    <row r="45" spans="1:9" x14ac:dyDescent="0.25">
      <c r="A45" s="1"/>
      <c r="B45" s="1"/>
      <c r="C45" s="1"/>
      <c r="D45" s="1"/>
      <c r="E45" s="1"/>
      <c r="F45" s="1"/>
      <c r="G45" s="79"/>
      <c r="H45" s="1"/>
      <c r="I45" s="1"/>
    </row>
    <row r="46" spans="1:9" x14ac:dyDescent="0.25">
      <c r="A46" s="1"/>
      <c r="B46" s="1"/>
      <c r="C46" s="1"/>
      <c r="D46" s="1"/>
      <c r="E46" s="1"/>
      <c r="F46" s="1"/>
      <c r="G46" s="79"/>
      <c r="H46" s="1"/>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
      <c r="C51" s="1"/>
      <c r="D51" s="1"/>
      <c r="E51" s="1"/>
      <c r="F51" s="1"/>
      <c r="G51" s="79"/>
      <c r="H51" s="1"/>
      <c r="I51" s="1"/>
    </row>
    <row r="52" spans="1:9" x14ac:dyDescent="0.25">
      <c r="A52" s="1"/>
      <c r="B52" s="131" t="s">
        <v>242</v>
      </c>
      <c r="C52" s="132"/>
      <c r="D52" s="132"/>
      <c r="E52" s="132"/>
      <c r="F52" s="132"/>
      <c r="G52" s="139"/>
      <c r="H52" s="133"/>
      <c r="I52" s="1"/>
    </row>
    <row r="53" spans="1:9" x14ac:dyDescent="0.25">
      <c r="A53" s="1"/>
      <c r="B53" s="136" t="s">
        <v>140</v>
      </c>
      <c r="C53" s="137"/>
      <c r="D53" s="137"/>
      <c r="E53" s="137"/>
      <c r="F53" s="138"/>
      <c r="G53" s="76">
        <f>(G41+G42-G43)*(1+'Fane 15. Nøgletal'!C15)</f>
        <v>120421363.99558391</v>
      </c>
      <c r="H53" s="14" t="s">
        <v>3</v>
      </c>
      <c r="I53" s="1"/>
    </row>
    <row r="54" spans="1:9" x14ac:dyDescent="0.25">
      <c r="A54" s="1"/>
      <c r="B54" s="136" t="s">
        <v>141</v>
      </c>
      <c r="C54" s="137"/>
      <c r="D54" s="137"/>
      <c r="E54" s="137"/>
      <c r="F54" s="138"/>
      <c r="G54" s="76">
        <f>(G53)*'Fane 15. Nøgletal'!C26</f>
        <v>0</v>
      </c>
      <c r="H54" s="14" t="s">
        <v>3</v>
      </c>
      <c r="I54" s="1"/>
    </row>
    <row r="55" spans="1:9" x14ac:dyDescent="0.25">
      <c r="A55" s="1"/>
      <c r="B55" s="32"/>
      <c r="C55" s="27"/>
      <c r="D55" s="27"/>
      <c r="E55" s="27"/>
      <c r="F55" s="27"/>
      <c r="G55" s="78"/>
      <c r="H55" s="19"/>
      <c r="I55" s="1"/>
    </row>
    <row r="56" spans="1:9" x14ac:dyDescent="0.25">
      <c r="A56" s="1"/>
      <c r="B56" s="1"/>
      <c r="C56" s="1"/>
      <c r="D56" s="1"/>
      <c r="E56" s="1"/>
      <c r="F56" s="1"/>
      <c r="G56" s="79"/>
      <c r="H56" s="1"/>
      <c r="I56" s="1"/>
    </row>
    <row r="57" spans="1:9" x14ac:dyDescent="0.25">
      <c r="A57" s="1"/>
      <c r="B57" s="131" t="s">
        <v>153</v>
      </c>
      <c r="C57" s="132"/>
      <c r="D57" s="132"/>
      <c r="E57" s="132"/>
      <c r="F57" s="132"/>
      <c r="G57" s="139"/>
      <c r="H57" s="133"/>
      <c r="I57" s="1"/>
    </row>
    <row r="58" spans="1:9" x14ac:dyDescent="0.25">
      <c r="A58" s="1"/>
      <c r="B58" s="136" t="s">
        <v>173</v>
      </c>
      <c r="C58" s="137"/>
      <c r="D58" s="137"/>
      <c r="E58" s="137"/>
      <c r="F58" s="138"/>
      <c r="G58" s="76">
        <f>(G53-G54)*(1+'Fane 15. Nøgletal'!C15)</f>
        <v>124708364.5538267</v>
      </c>
      <c r="H58" s="14" t="s">
        <v>3</v>
      </c>
      <c r="I58" s="1"/>
    </row>
    <row r="59" spans="1:9" x14ac:dyDescent="0.25">
      <c r="A59" s="1"/>
      <c r="B59" s="136" t="s">
        <v>174</v>
      </c>
      <c r="C59" s="137"/>
      <c r="D59" s="137"/>
      <c r="E59" s="137"/>
      <c r="F59" s="138"/>
      <c r="G59" s="76">
        <f>(G58)*'Fane 15. Nøgletal'!C26</f>
        <v>0</v>
      </c>
      <c r="H59" s="14" t="s">
        <v>3</v>
      </c>
      <c r="I59" s="1"/>
    </row>
    <row r="60" spans="1:9" x14ac:dyDescent="0.25">
      <c r="A60" s="1"/>
      <c r="B60" s="32"/>
      <c r="C60" s="27"/>
      <c r="D60" s="27"/>
      <c r="E60" s="27"/>
      <c r="F60" s="27"/>
      <c r="G60" s="78"/>
      <c r="H60" s="19"/>
      <c r="I60" s="1"/>
    </row>
    <row r="61" spans="1:9" x14ac:dyDescent="0.25">
      <c r="A61" s="1"/>
      <c r="B61" s="1"/>
      <c r="C61" s="1"/>
      <c r="D61" s="1"/>
      <c r="E61" s="1"/>
      <c r="F61" s="1"/>
      <c r="G61" s="79"/>
      <c r="H61" s="1"/>
      <c r="I61" s="1"/>
    </row>
    <row r="62" spans="1:9" x14ac:dyDescent="0.25">
      <c r="A62" s="1"/>
      <c r="B62" s="131" t="s">
        <v>196</v>
      </c>
      <c r="C62" s="132"/>
      <c r="D62" s="132"/>
      <c r="E62" s="132"/>
      <c r="F62" s="132"/>
      <c r="G62" s="139"/>
      <c r="H62" s="133"/>
      <c r="I62" s="1"/>
    </row>
    <row r="63" spans="1:9" x14ac:dyDescent="0.25">
      <c r="A63" s="1"/>
      <c r="B63" s="136" t="s">
        <v>197</v>
      </c>
      <c r="C63" s="137"/>
      <c r="D63" s="137"/>
      <c r="E63" s="137"/>
      <c r="F63" s="138"/>
      <c r="G63" s="76">
        <f>(G58-G59)*(1+'Fane 15. Nøgletal'!C15)</f>
        <v>129147982.33194295</v>
      </c>
      <c r="H63" s="14" t="s">
        <v>3</v>
      </c>
      <c r="I63" s="1"/>
    </row>
    <row r="64" spans="1:9" x14ac:dyDescent="0.25">
      <c r="A64" s="1"/>
      <c r="B64" s="136" t="s">
        <v>198</v>
      </c>
      <c r="C64" s="137"/>
      <c r="D64" s="137"/>
      <c r="E64" s="137"/>
      <c r="F64" s="138"/>
      <c r="G64" s="76">
        <f>(G63)*'Fane 15. Nøgletal'!C26</f>
        <v>0</v>
      </c>
      <c r="H64" s="14" t="s">
        <v>3</v>
      </c>
      <c r="I64" s="1"/>
    </row>
    <row r="65" spans="1:9" x14ac:dyDescent="0.25">
      <c r="A65" s="1"/>
      <c r="B65" s="32"/>
      <c r="C65" s="27"/>
      <c r="D65" s="27"/>
      <c r="E65" s="27"/>
      <c r="F65" s="27"/>
      <c r="G65" s="27"/>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LZtNUci0zNEIOrLWE5Cbbe6CcZzQD6LQZy3X7/wZ1naZpx9d6pKW2wBszhwNk6Vly843KgheqDLP8KLCDoK2CA==" saltValue="TQtbDtxZr2Vq8kz6333i5g==" spinCount="100000" sheet="1" objects="1" scenarios="1"/>
  <mergeCells count="3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7:H57"/>
    <mergeCell ref="B58:F58"/>
    <mergeCell ref="B59:F59"/>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9" t="s">
        <v>88</v>
      </c>
      <c r="C3" s="119"/>
      <c r="D3" s="119"/>
      <c r="E3" s="119"/>
      <c r="F3" s="119"/>
      <c r="G3" s="119"/>
      <c r="H3" s="1"/>
    </row>
    <row r="4" spans="1:8" ht="15" customHeight="1" x14ac:dyDescent="0.25">
      <c r="A4" s="1"/>
      <c r="B4" s="119"/>
      <c r="C4" s="119"/>
      <c r="D4" s="119"/>
      <c r="E4" s="119"/>
      <c r="F4" s="119"/>
      <c r="G4" s="119"/>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1" t="s">
        <v>10</v>
      </c>
      <c r="C8" s="132"/>
      <c r="D8" s="132"/>
      <c r="E8" s="132"/>
      <c r="F8" s="132"/>
      <c r="G8" s="132"/>
      <c r="H8" s="1"/>
    </row>
    <row r="9" spans="1:8" x14ac:dyDescent="0.25">
      <c r="A9" s="1"/>
      <c r="B9" s="136" t="s">
        <v>154</v>
      </c>
      <c r="C9" s="137"/>
      <c r="D9" s="137"/>
      <c r="E9" s="137"/>
      <c r="F9" s="138"/>
      <c r="G9" s="35">
        <v>1.2573293100187411E-2</v>
      </c>
      <c r="H9" s="1"/>
    </row>
    <row r="10" spans="1:8" x14ac:dyDescent="0.25">
      <c r="A10" s="1"/>
      <c r="B10" s="32"/>
      <c r="C10" s="27"/>
      <c r="D10" s="27"/>
      <c r="E10" s="27"/>
      <c r="F10" s="27"/>
      <c r="G10" s="27"/>
      <c r="H10" s="1"/>
    </row>
    <row r="11" spans="1:8" ht="29.25" customHeight="1" x14ac:dyDescent="0.25">
      <c r="A11" s="1"/>
      <c r="B11" s="148" t="s">
        <v>236</v>
      </c>
      <c r="C11" s="149"/>
      <c r="D11" s="149"/>
      <c r="E11" s="149"/>
      <c r="F11" s="149"/>
      <c r="G11" s="149"/>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Ri0a3nLJAsd3HPTbFa4GrXwkvZfSQAx95pjEOP4QFAipgr85XwtDPtMcNnwXS7nIJhmwfJcktxwcB2/1kHxF4w==" saltValue="Lr6SaVQwdSrsFJUaJoQmGw=="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2022-12-06T11:22:16Z</dcterms:modified>
</cp:coreProperties>
</file>