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Ærø Vand AS (V214)\ØR2023\"/>
    </mc:Choice>
  </mc:AlternateContent>
  <workbookProtection workbookAlgorithmName="SHA-512" workbookHashValue="VLdIzTKK9/pS5F6oNQQpyv8uMZ3TRH71LZFyMlICv3qkI4V7o7kIIWyU96QCJjoZiWTMYJwcK2RxAOkRq7X3Sw==" workbookSaltValue="Ja6AAqNQE7TBA68diHryiw==" workbookSpinCount="100000" lockStructure="1"/>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7.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<sst xmlns="http://schemas.openxmlformats.org/spreadsheetml/2006/main" count="322" uniqueCount="153">
  <si>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</si>
  <si>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</si>
  <si>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</si>
  <si>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</si>
  <si>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</si>
  <si>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</si>
  <si>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</si>
  <si>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</si>
  <si>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</si>
  <si>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</si>
  <si>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</si>
  <si>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</si>
  <si>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</si>
  <si>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</si>
  <si>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</si>
  <si>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</si>
  <si>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</si>
  <si>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</si>
  <si>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</si>
  <si>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</si>
  <si>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</si>
  <si>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</si>
  <si>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</si>
  <si>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</si>
  <si>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</si>
  <si>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</si>
  <si>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</si>
  <si>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</si>
  <si>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</si>
  <si>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</si>
  <si>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</si>
  <si>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</si>
  <si>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</si>
  <si>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</si>
  <si>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</si>
  <si>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</si>
  <si>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</si>
  <si>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</si>
  <si>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</si>
  <si>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</si>
  <si>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</si>
  <si>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</si>
  <si>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</si>
  <si>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</si>
  <si>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</si>
  <si>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</si>
  <si>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</si>
  <si>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</si>
  <si>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</si>
  <si>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</si>
  <si>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</si>
  <si>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</si>
  <si>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</si>
  <si>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</si>
  <si>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</si>
  <si>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</si>
  <si>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</si>
  <si>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</si>
  <si>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</si>
  <si>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</si>
  <si>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</si>
  <si>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</si>
  <si>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</si>
  <si>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</si>
  <si>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</si>
  <si>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</si>
  <si>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</si>
  <si>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</si>
  <si>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</si>
  <si>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</si>
  <si>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</si>
  <si>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</si>
  <si>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</si>
  <si>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</si>
  <si>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</si>
  <si>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</si>
  <si>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</si>
  <si>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</si>
  <si>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</si>
  <si>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</si>
  <si>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</si>
  <si>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</si>
  <si>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</si>
  <si>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</si>
  <si>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</si>
  <si>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</si>
  <si>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</si>
  <si>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</si>
  <si>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</si>
  <si>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</si>
  <si>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</si>
  <si>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</si>
  <si>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</si>
  <si>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</si>
  <si>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</si>
  <si>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</si>
  <si>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</si>
  <si>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</si>
  <si>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</si>
  <si>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</si>
  <si>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</si>
  <si>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</si>
  <si>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</si>
  <si>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</si>
  <si>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</si>
  <si>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</si>
  <si>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</si>
  <si>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</si>
  <si>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</si>
  <si>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</si>
  <si>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</si>
  <si>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</si>
  <si>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</si>
  <si>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</si>
  <si>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</si>
  <si>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</si>
  <si>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</si>
  <si>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</si>
  <si>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</si>
  <si>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</si>
  <si>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</si>
  <si>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</si>
  <si>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</si>
  <si>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</si>
  <si>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</si>
  <si>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</si>
  <si>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</si>
  <si>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</si>
  <si>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</si>
  <si>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</si>
  <si>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</si>
  <si>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</si>
  <si>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</si>
  <si>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</si>
  <si>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</si>
  <si>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</si>
  <si>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</si>
  <si>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</si>
  <si>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</si>
  <si>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</si>
  <si>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</si>
  <si>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</si>
  <si>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</si>
  <si>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</si>
  <si>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</si>
  <si>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</si>
  <si>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</si>
  <si>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</si>
  <si>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</si>
  <si>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</si>
  <si>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</si>
  <si>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Fane 67</t>
  </si>
  <si>
    <t>Fane 7.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</si>
</sst>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7" zoomScaleNormal="100" zoomScalePageLayoutView="87" workbookViewId="0">
      <selection activeCell="C22" sqref="C22"/>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6.8554687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106</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79</v>
      </c>
      <c r="E13" s="77"/>
      <c r="F13" s="77"/>
      <c r="G13" s="78"/>
      <c r="H13" s="1"/>
      <c r="I13" s="1"/>
    </row>
    <row r="14" spans="1:9" x14ac:dyDescent="0.25">
      <c r="A14" s="1"/>
      <c r="B14" s="1"/>
      <c r="C14" s="6" t="s">
        <v>14</v>
      </c>
      <c r="D14" s="76" t="s">
        <v>111</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80</v>
      </c>
      <c r="E16" s="77"/>
      <c r="F16" s="77"/>
      <c r="G16" s="78"/>
      <c r="H16" s="1"/>
      <c r="I16" s="1"/>
    </row>
    <row r="17" spans="1:9" x14ac:dyDescent="0.25">
      <c r="A17" s="1"/>
      <c r="B17" s="1"/>
      <c r="C17" s="6" t="s">
        <v>49</v>
      </c>
      <c r="D17" s="76" t="s">
        <v>81</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82</v>
      </c>
      <c r="E19" s="81"/>
      <c r="F19" s="81"/>
      <c r="G19" s="82"/>
      <c r="H19" s="1"/>
      <c r="I19" s="1"/>
    </row>
    <row r="20" spans="1:9" x14ac:dyDescent="0.25">
      <c r="A20" s="1"/>
      <c r="B20" s="1"/>
      <c r="C20" s="6" t="s">
        <v>46</v>
      </c>
      <c r="D20" s="80" t="s">
        <v>114</v>
      </c>
      <c r="E20" s="81"/>
      <c r="F20" s="81"/>
      <c r="G20" s="82"/>
      <c r="H20" s="1"/>
      <c r="I20" s="1"/>
    </row>
    <row r="21" spans="1:9" x14ac:dyDescent="0.25">
      <c r="A21" s="1"/>
      <c r="B21" s="1"/>
      <c r="C21" s="6" t="s">
        <v>151</v>
      </c>
      <c r="D21" s="80" t="s">
        <v>109</v>
      </c>
      <c r="E21" s="81"/>
      <c r="F21" s="81"/>
      <c r="G21" s="82"/>
      <c r="H21" s="1"/>
      <c r="I21" s="1"/>
    </row>
    <row r="22" spans="1:9" x14ac:dyDescent="0.25">
      <c r="A22" s="1"/>
      <c r="B22" s="1"/>
      <c r="C22" s="6" t="s">
        <v>121</v>
      </c>
      <c r="D22" s="80" t="s">
        <v>35</v>
      </c>
      <c r="E22" s="81"/>
      <c r="F22" s="81"/>
      <c r="G22" s="82"/>
      <c r="H22" s="1"/>
      <c r="I22" s="1"/>
    </row>
    <row r="23" spans="1:9" x14ac:dyDescent="0.25">
      <c r="A23" s="1"/>
      <c r="B23" s="1"/>
      <c r="C23" s="6" t="s">
        <v>122</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123</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tL32nI7IjSWIc4cAK4CzegDcCJPi9C8Z6Eq8dcllIV/ACMvM8xM56K3zduc/gJ/kkNl+YGvhGTmU1ZbW1rxcQQ==" saltValue="sTinG8OHjBzBonJ20hkyk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topLeftCell="A40"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115</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102</v>
      </c>
      <c r="C8" s="113"/>
      <c r="D8" s="113"/>
      <c r="E8" s="113"/>
      <c r="F8" s="113"/>
      <c r="G8" s="113"/>
      <c r="H8" s="113"/>
      <c r="I8" s="113"/>
      <c r="J8" s="113"/>
      <c r="K8" s="114"/>
      <c r="L8" s="1"/>
    </row>
    <row r="9" spans="1:12" ht="39.75" customHeight="1" x14ac:dyDescent="0.25">
      <c r="A9" s="1"/>
      <c r="B9" s="49" t="s">
        <v>0</v>
      </c>
      <c r="C9" s="16" t="s">
        <v>1</v>
      </c>
      <c r="D9" s="128" t="s">
        <v>112</v>
      </c>
      <c r="E9" s="129"/>
      <c r="F9" s="128" t="s">
        <v>2</v>
      </c>
      <c r="G9" s="129"/>
      <c r="H9" s="128" t="s">
        <v>113</v>
      </c>
      <c r="I9" s="129"/>
      <c r="J9" s="128" t="s">
        <v>23</v>
      </c>
      <c r="K9" s="129"/>
      <c r="L9" s="1"/>
    </row>
    <row r="10" spans="1:12" x14ac:dyDescent="0.25">
      <c r="A10" s="1"/>
      <c r="B10" s="57" t="s">
        <v>137</v>
      </c>
      <c r="C10" s="30">
        <v>0</v>
      </c>
      <c r="D10" s="8">
        <v>0</v>
      </c>
      <c r="E10" s="12" t="s">
        <v>3</v>
      </c>
      <c r="F10" s="8">
        <f>IFERROR(D10/C10,0)</f>
        <v>0</v>
      </c>
      <c r="G10" s="12" t="s">
        <v>3</v>
      </c>
      <c r="H10" s="8">
        <v>0</v>
      </c>
      <c r="I10" s="12" t="s">
        <v>3</v>
      </c>
      <c r="J10" s="8">
        <v>0</v>
      </c>
      <c r="K10" s="12" t="s">
        <v>3</v>
      </c>
      <c r="L10" s="1"/>
    </row>
    <row r="11" spans="1:12" x14ac:dyDescent="0.25">
      <c r="A11" s="1"/>
      <c r="B11" s="65" t="s">
        <v>103</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election activeCell="C23" sqref="C23"/>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138</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4" t="s">
        <v>67</v>
      </c>
      <c r="C12" s="10">
        <f>SUM(C10:C11)</f>
        <v>0</v>
      </c>
      <c r="D12" s="11" t="s">
        <v>3</v>
      </c>
      <c r="E12" s="10">
        <f>SUM(E10:E11)</f>
        <v>0</v>
      </c>
      <c r="F12" s="11" t="s">
        <v>3</v>
      </c>
      <c r="G12" s="1"/>
    </row>
    <row r="13" spans="1:7" x14ac:dyDescent="0.25">
      <c r="A13" s="1"/>
      <c r="B13" s="74" t="s">
        <v>99</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topLeftCell="A28"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117</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139</v>
      </c>
      <c r="C9" s="19">
        <v>0</v>
      </c>
      <c r="D9" s="12" t="s">
        <v>3</v>
      </c>
      <c r="E9" s="19">
        <v>0</v>
      </c>
      <c r="F9" s="12" t="s">
        <v>3</v>
      </c>
      <c r="G9" s="1"/>
    </row>
    <row r="10" spans="1:7" x14ac:dyDescent="0.25">
      <c r="A10" s="1"/>
      <c r="B10" s="74" t="s">
        <v>108</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140</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100</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119</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141</v>
      </c>
      <c r="C11" s="8">
        <v>0</v>
      </c>
      <c r="D11" s="12" t="s">
        <v>3</v>
      </c>
      <c r="E11" s="8">
        <v>0</v>
      </c>
      <c r="F11" s="12" t="s">
        <v>3</v>
      </c>
      <c r="G11" s="1"/>
    </row>
    <row r="12" spans="1:7" x14ac:dyDescent="0.25">
      <c r="A12" s="1"/>
      <c r="B12" s="74" t="s">
        <v>105</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120</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101</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election activeCell="G46" sqref="G46:G47"/>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3703396.1587209124</v>
      </c>
      <c r="F9" s="55" t="s">
        <v>3</v>
      </c>
      <c r="G9" s="1"/>
    </row>
    <row r="10" spans="1:7" ht="17.100000000000001" customHeight="1" x14ac:dyDescent="0.25">
      <c r="A10" s="1"/>
      <c r="B10" s="24" t="s">
        <v>50</v>
      </c>
      <c r="C10" s="55"/>
      <c r="D10" s="55"/>
      <c r="E10" s="7">
        <f>'Fane 7.1. Varige tillæg'!C13+'Fane 7.1. Varige tillæg'!E13</f>
        <v>0</v>
      </c>
      <c r="F10" s="55" t="s">
        <v>3</v>
      </c>
      <c r="G10" s="1"/>
    </row>
    <row r="11" spans="1:7" ht="17.100000000000001" customHeight="1" x14ac:dyDescent="0.25">
      <c r="A11" s="1"/>
      <c r="B11" s="24" t="s">
        <v>52</v>
      </c>
      <c r="C11" s="55"/>
      <c r="D11" s="55"/>
      <c r="E11" s="8">
        <f>-('Fane 10. Bortfald'!C13+'Fane 10. Bortfald'!E13)</f>
        <v>0</v>
      </c>
      <c r="F11" s="55" t="s">
        <v>3</v>
      </c>
      <c r="G11" s="1"/>
    </row>
    <row r="12" spans="1:7" ht="17.100000000000001" customHeight="1" x14ac:dyDescent="0.25">
      <c r="A12" s="1"/>
      <c r="B12" s="24" t="s">
        <v>54</v>
      </c>
      <c r="C12" s="55"/>
      <c r="D12" s="55"/>
      <c r="E12" s="8">
        <f>'Fane 9. Tilknyttet virksomhed'!C12+'Fane 9. Tilknyttet virksomhed'!E12</f>
        <v>0</v>
      </c>
      <c r="F12" s="55" t="s">
        <v>3</v>
      </c>
      <c r="G12" s="1"/>
    </row>
    <row r="13" spans="1:7" ht="17.100000000000001" customHeight="1" x14ac:dyDescent="0.25">
      <c r="A13" s="1"/>
      <c r="B13" s="24" t="s">
        <v>17</v>
      </c>
      <c r="C13" s="55"/>
      <c r="D13" s="55"/>
      <c r="E13" s="8">
        <f>SUM(E9:E12)*'Fane 11. Nøgletal'!C15</f>
        <v>131840.90325046447</v>
      </c>
      <c r="F13" s="55" t="s">
        <v>3</v>
      </c>
      <c r="G13" s="1"/>
    </row>
    <row r="14" spans="1:7" ht="17.100000000000001" customHeight="1" x14ac:dyDescent="0.25">
      <c r="A14" s="1"/>
      <c r="B14" s="24" t="s">
        <v>44</v>
      </c>
      <c r="C14" s="55"/>
      <c r="D14" s="55"/>
      <c r="E14" s="8">
        <f>-SUM(E9,E10:E13)*'Fane 11. Nøgletal'!C20</f>
        <v>-65199.030053513408</v>
      </c>
      <c r="F14" s="55" t="s">
        <v>3</v>
      </c>
      <c r="G14" s="1"/>
    </row>
    <row r="15" spans="1:7" ht="15" customHeight="1" x14ac:dyDescent="0.25">
      <c r="A15" s="1"/>
      <c r="B15" s="68" t="s">
        <v>19</v>
      </c>
      <c r="C15" s="29"/>
      <c r="D15" s="29"/>
      <c r="E15" s="9">
        <f>SUM(E9,E10:E14)</f>
        <v>3770038.0319178631</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omk.'!C14</f>
        <v>1047452.0588280001</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107</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-73727.825751432625</v>
      </c>
      <c r="F24" s="59" t="s">
        <v>3</v>
      </c>
      <c r="G24" s="1"/>
    </row>
    <row r="25" spans="1:7" x14ac:dyDescent="0.25">
      <c r="A25" s="1"/>
      <c r="B25" s="58" t="s">
        <v>76</v>
      </c>
      <c r="C25" s="58"/>
      <c r="D25" s="58"/>
      <c r="E25" s="58"/>
      <c r="F25" s="58"/>
      <c r="G25" s="1"/>
    </row>
    <row r="26" spans="1:7" x14ac:dyDescent="0.25">
      <c r="A26" s="1"/>
      <c r="B26" s="59" t="s">
        <v>77</v>
      </c>
      <c r="C26" s="59"/>
      <c r="D26" s="59"/>
      <c r="E26" s="9">
        <f>'Fane 6. Skattesagen'!G12</f>
        <v>0</v>
      </c>
      <c r="F26" s="59" t="s">
        <v>3</v>
      </c>
      <c r="G26" s="1"/>
    </row>
    <row r="27" spans="1:7" x14ac:dyDescent="0.25">
      <c r="A27" s="1"/>
      <c r="B27" s="58" t="s">
        <v>39</v>
      </c>
      <c r="C27" s="58"/>
      <c r="D27" s="58"/>
      <c r="E27" s="10">
        <f>SUM(E15:E17:E22:E24:E26)</f>
        <v>4743762.2649944313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topLeftCell="A34" zoomScaleNormal="100" workbookViewId="0">
      <selection activeCell="G43" sqref="G43:G44"/>
    </sheetView>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3770038.0319178631</v>
      </c>
      <c r="F8" s="55" t="s">
        <v>3</v>
      </c>
      <c r="G8" s="1"/>
    </row>
    <row r="9" spans="1:7" ht="15" customHeight="1" x14ac:dyDescent="0.25">
      <c r="A9" s="1"/>
      <c r="B9" s="56" t="s">
        <v>17</v>
      </c>
      <c r="C9" s="55"/>
      <c r="D9" s="55"/>
      <c r="E9" s="8">
        <f>SUM(E8:E8)*'Fane 11. Nøgletal'!C15</f>
        <v>134213.35393627593</v>
      </c>
      <c r="F9" s="55" t="s">
        <v>3</v>
      </c>
      <c r="G9" s="1"/>
    </row>
    <row r="10" spans="1:7" ht="15" customHeight="1" x14ac:dyDescent="0.25">
      <c r="A10" s="1"/>
      <c r="B10" s="56" t="s">
        <v>44</v>
      </c>
      <c r="C10" s="55"/>
      <c r="D10" s="55"/>
      <c r="E10" s="8">
        <f>-SUM(E8:E9)*'Fane 11. Nøgletal'!C20</f>
        <v>-66372.27355952037</v>
      </c>
      <c r="F10" s="55" t="s">
        <v>3</v>
      </c>
      <c r="G10" s="1"/>
    </row>
    <row r="11" spans="1:7" ht="15" customHeight="1" x14ac:dyDescent="0.25">
      <c r="A11" s="1"/>
      <c r="B11" s="29" t="s">
        <v>19</v>
      </c>
      <c r="C11" s="29"/>
      <c r="D11" s="29"/>
      <c r="E11" s="9">
        <f>SUM(E8:E10)</f>
        <v>3837879.1122946185</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f>
        <v>1084741.352122277</v>
      </c>
      <c r="F13" s="59" t="s">
        <v>3</v>
      </c>
      <c r="G13" s="1"/>
    </row>
    <row r="14" spans="1:7" x14ac:dyDescent="0.25">
      <c r="A14" s="1"/>
      <c r="B14" s="58" t="s">
        <v>62</v>
      </c>
      <c r="C14" s="58"/>
      <c r="D14" s="58"/>
      <c r="E14" s="58"/>
      <c r="F14" s="58"/>
      <c r="G14" s="1"/>
    </row>
    <row r="15" spans="1:7" x14ac:dyDescent="0.25">
      <c r="A15" s="1"/>
      <c r="B15" s="59" t="s">
        <v>78</v>
      </c>
      <c r="C15" s="33"/>
      <c r="D15" s="33"/>
      <c r="E15" s="9">
        <f>'Fane 5. Kontrol af ØR2021'!E30</f>
        <v>-73727.825751432625</v>
      </c>
      <c r="F15" s="59" t="s">
        <v>3</v>
      </c>
      <c r="G15" s="1"/>
    </row>
    <row r="16" spans="1:7" x14ac:dyDescent="0.25">
      <c r="A16" s="1"/>
      <c r="B16" s="58" t="s">
        <v>76</v>
      </c>
      <c r="C16" s="58"/>
      <c r="D16" s="58"/>
      <c r="E16" s="58"/>
      <c r="F16" s="58"/>
      <c r="G16" s="1"/>
    </row>
    <row r="17" spans="1:7" x14ac:dyDescent="0.25">
      <c r="A17" s="1"/>
      <c r="B17" s="59" t="s">
        <v>77</v>
      </c>
      <c r="C17" s="59"/>
      <c r="D17" s="59"/>
      <c r="E17" s="9">
        <f>'Fane 6. Skattesagen'!G13</f>
        <v>0</v>
      </c>
      <c r="F17" s="59" t="s">
        <v>3</v>
      </c>
      <c r="G17" s="1"/>
    </row>
    <row r="18" spans="1:7" x14ac:dyDescent="0.25">
      <c r="A18" s="1"/>
      <c r="B18" s="58" t="s">
        <v>57</v>
      </c>
      <c r="C18" s="58"/>
      <c r="D18" s="58"/>
      <c r="E18" s="10">
        <f>SUM(E11,E13,E15,E17)</f>
        <v>4848892.6386654628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topLeftCell="A43" zoomScaleNormal="100" workbookViewId="0">
      <selection activeCell="G47" sqref="G47:G48"/>
    </sheetView>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3837879.1122946185</v>
      </c>
      <c r="F8" s="55" t="s">
        <v>3</v>
      </c>
      <c r="G8" s="1"/>
    </row>
    <row r="9" spans="1:7" ht="15" customHeight="1" x14ac:dyDescent="0.25">
      <c r="A9" s="1"/>
      <c r="B9" s="56" t="s">
        <v>17</v>
      </c>
      <c r="C9" s="55"/>
      <c r="D9" s="55"/>
      <c r="E9" s="8">
        <f>SUM(E8:E8)*'Fane 11. Nøgletal'!C15</f>
        <v>136628.49639768843</v>
      </c>
      <c r="F9" s="55" t="s">
        <v>3</v>
      </c>
      <c r="G9" s="1"/>
    </row>
    <row r="10" spans="1:7" ht="15" customHeight="1" x14ac:dyDescent="0.25">
      <c r="A10" s="1"/>
      <c r="B10" s="56" t="s">
        <v>44</v>
      </c>
      <c r="C10" s="55"/>
      <c r="D10" s="55"/>
      <c r="E10" s="8">
        <f>-SUM(E8:E9)*'Fane 11. Nøgletal'!C20</f>
        <v>-67566.629347769223</v>
      </c>
      <c r="F10" s="55" t="s">
        <v>3</v>
      </c>
      <c r="G10" s="1"/>
    </row>
    <row r="11" spans="1:7" x14ac:dyDescent="0.25">
      <c r="A11" s="1"/>
      <c r="B11" s="29" t="s">
        <v>19</v>
      </c>
      <c r="C11" s="29"/>
      <c r="D11" s="29"/>
      <c r="E11" s="9">
        <f>SUM(E8:E10)</f>
        <v>3906940.9793445379</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Nøgletal'!C15)^2</f>
        <v>1123358.14425783</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76</v>
      </c>
      <c r="C16" s="58"/>
      <c r="D16" s="58"/>
      <c r="E16" s="58"/>
      <c r="F16" s="58"/>
      <c r="G16" s="1"/>
    </row>
    <row r="17" spans="1:7" ht="15" customHeight="1" x14ac:dyDescent="0.25">
      <c r="A17" s="1"/>
      <c r="B17" s="59" t="s">
        <v>77</v>
      </c>
      <c r="C17" s="59"/>
      <c r="D17" s="59"/>
      <c r="E17" s="9">
        <f>'Fane 6. Skattesagen'!G14</f>
        <v>0</v>
      </c>
      <c r="F17" s="59" t="s">
        <v>3</v>
      </c>
      <c r="G17" s="1"/>
    </row>
    <row r="18" spans="1:7" x14ac:dyDescent="0.25">
      <c r="A18" s="1"/>
      <c r="B18" s="58" t="s">
        <v>66</v>
      </c>
      <c r="C18" s="58"/>
      <c r="D18" s="58"/>
      <c r="E18" s="10">
        <f>SUM(E11,E13,E15,E17)</f>
        <v>5030299.1236023679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topLeftCell="A25" zoomScaleNormal="100" workbookViewId="0">
      <selection activeCell="G47" sqref="G47:G48"/>
    </sheetView>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86</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87</v>
      </c>
      <c r="C8" s="55"/>
      <c r="D8" s="55"/>
      <c r="E8" s="7">
        <f>'Fane 2.3. Økonomisk ramme 2025'!E11</f>
        <v>3906940.9793445379</v>
      </c>
      <c r="F8" s="55" t="s">
        <v>3</v>
      </c>
      <c r="G8" s="1"/>
    </row>
    <row r="9" spans="1:7" ht="15" customHeight="1" x14ac:dyDescent="0.25">
      <c r="A9" s="1"/>
      <c r="B9" s="56" t="s">
        <v>17</v>
      </c>
      <c r="C9" s="55"/>
      <c r="D9" s="55"/>
      <c r="E9" s="8">
        <f>SUM(E8:E8)*'Fane 11. Nøgletal'!C15</f>
        <v>139087.09886466555</v>
      </c>
      <c r="F9" s="55" t="s">
        <v>3</v>
      </c>
      <c r="G9" s="1"/>
    </row>
    <row r="10" spans="1:7" ht="15" customHeight="1" x14ac:dyDescent="0.25">
      <c r="A10" s="1"/>
      <c r="B10" s="56" t="s">
        <v>44</v>
      </c>
      <c r="C10" s="55"/>
      <c r="D10" s="55"/>
      <c r="E10" s="8">
        <f>-SUM(E8:E9)*'Fane 11. Nøgletal'!C20</f>
        <v>-68782.477329556466</v>
      </c>
      <c r="F10" s="55" t="s">
        <v>3</v>
      </c>
      <c r="G10" s="1"/>
    </row>
    <row r="11" spans="1:7" x14ac:dyDescent="0.25">
      <c r="A11" s="1"/>
      <c r="B11" s="29" t="s">
        <v>19</v>
      </c>
      <c r="C11" s="29"/>
      <c r="D11" s="29"/>
      <c r="E11" s="9">
        <f>SUM(E8:E10)</f>
        <v>3977245.6008796473</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Nøgletal'!C15)^3</f>
        <v>1163349.6941934088</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76</v>
      </c>
      <c r="C16" s="58"/>
      <c r="D16" s="58"/>
      <c r="E16" s="58"/>
      <c r="F16" s="58"/>
      <c r="G16" s="1"/>
    </row>
    <row r="17" spans="1:7" ht="15" customHeight="1" x14ac:dyDescent="0.25">
      <c r="A17" s="1"/>
      <c r="B17" s="59" t="s">
        <v>77</v>
      </c>
      <c r="C17" s="59"/>
      <c r="D17" s="59"/>
      <c r="E17" s="9">
        <f>'Fane 6. Skattesagen'!G15</f>
        <v>0</v>
      </c>
      <c r="F17" s="59" t="s">
        <v>3</v>
      </c>
      <c r="G17" s="1"/>
    </row>
    <row r="18" spans="1:7" x14ac:dyDescent="0.25">
      <c r="A18" s="1"/>
      <c r="B18" s="58" t="s">
        <v>88</v>
      </c>
      <c r="C18" s="58"/>
      <c r="D18" s="58"/>
      <c r="E18" s="10">
        <f>SUM(E11,E13,E15,E17)</f>
        <v>5140595.2950730566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topLeftCell="A31" zoomScaleNormal="100" workbookViewId="0">
      <selection activeCell="A56" sqref="A47:A56"/>
    </sheetView>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89</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90</v>
      </c>
      <c r="C8" s="58"/>
      <c r="D8" s="58"/>
      <c r="E8" s="58"/>
      <c r="F8" s="58"/>
      <c r="G8" s="1"/>
    </row>
    <row r="9" spans="1:7" x14ac:dyDescent="0.25">
      <c r="A9" s="1"/>
      <c r="B9" s="108" t="s">
        <v>22</v>
      </c>
      <c r="C9" s="108"/>
      <c r="D9" s="108"/>
      <c r="E9" s="7">
        <v>3722033.8711271947</v>
      </c>
      <c r="F9" s="55" t="s">
        <v>3</v>
      </c>
      <c r="G9" s="1"/>
    </row>
    <row r="10" spans="1:7" x14ac:dyDescent="0.25">
      <c r="A10" s="1"/>
      <c r="B10" s="109" t="s">
        <v>104</v>
      </c>
      <c r="C10" s="110"/>
      <c r="D10" s="111"/>
      <c r="E10" s="7">
        <v>0</v>
      </c>
      <c r="F10" s="55" t="s">
        <v>3</v>
      </c>
      <c r="G10" s="1"/>
    </row>
    <row r="11" spans="1:7" x14ac:dyDescent="0.25">
      <c r="A11" s="1"/>
      <c r="B11" s="94" t="s">
        <v>50</v>
      </c>
      <c r="C11" s="94"/>
      <c r="D11" s="94"/>
      <c r="E11" s="7">
        <v>0</v>
      </c>
      <c r="F11" s="55" t="s">
        <v>3</v>
      </c>
      <c r="G11" s="1"/>
    </row>
    <row r="12" spans="1:7" x14ac:dyDescent="0.25">
      <c r="A12" s="1"/>
      <c r="B12" s="94" t="s">
        <v>54</v>
      </c>
      <c r="C12" s="94"/>
      <c r="D12" s="94"/>
      <c r="E12" s="7">
        <v>0</v>
      </c>
      <c r="F12" s="55" t="s">
        <v>3</v>
      </c>
      <c r="G12" s="1"/>
    </row>
    <row r="13" spans="1:7" x14ac:dyDescent="0.25">
      <c r="A13" s="1"/>
      <c r="B13" s="94" t="s">
        <v>51</v>
      </c>
      <c r="C13" s="94"/>
      <c r="D13" s="94"/>
      <c r="E13" s="8">
        <v>0</v>
      </c>
      <c r="F13" s="55" t="s">
        <v>3</v>
      </c>
      <c r="G13" s="1"/>
    </row>
    <row r="14" spans="1:7" x14ac:dyDescent="0.25">
      <c r="A14" s="1"/>
      <c r="B14" s="94" t="s">
        <v>17</v>
      </c>
      <c r="C14" s="94"/>
      <c r="D14" s="94"/>
      <c r="E14" s="8">
        <f>E9*'Fane 11. Nøgletal'!C13+SUM(E11:E13)*'Fane 11. Nøgletal'!C14</f>
        <v>45408.81322775178</v>
      </c>
      <c r="F14" s="55" t="s">
        <v>3</v>
      </c>
      <c r="G14" s="1"/>
    </row>
    <row r="15" spans="1:7" x14ac:dyDescent="0.25">
      <c r="A15" s="1"/>
      <c r="B15" s="94" t="s">
        <v>44</v>
      </c>
      <c r="C15" s="94"/>
      <c r="D15" s="94"/>
      <c r="E15" s="8">
        <f>-SUM(E9:E14)*'Fane 11. Nøgletal'!C20</f>
        <v>-64046.525634034093</v>
      </c>
      <c r="F15" s="55" t="s">
        <v>3</v>
      </c>
      <c r="G15" s="1"/>
    </row>
    <row r="16" spans="1:7" x14ac:dyDescent="0.25">
      <c r="A16" s="1"/>
      <c r="B16" s="95" t="s">
        <v>19</v>
      </c>
      <c r="C16" s="95"/>
      <c r="D16" s="95"/>
      <c r="E16" s="34">
        <f>SUM(E9:E15)</f>
        <v>3703396.1587209124</v>
      </c>
      <c r="F16" s="35" t="s">
        <v>3</v>
      </c>
      <c r="G16" s="1"/>
    </row>
    <row r="17" spans="1:7" x14ac:dyDescent="0.25">
      <c r="A17" s="1"/>
      <c r="B17" s="96" t="s">
        <v>11</v>
      </c>
      <c r="C17" s="96"/>
      <c r="D17" s="96"/>
      <c r="E17" s="58"/>
      <c r="F17" s="58"/>
      <c r="G17" s="1"/>
    </row>
    <row r="18" spans="1:7" x14ac:dyDescent="0.25">
      <c r="A18" s="1"/>
      <c r="B18" s="97" t="s">
        <v>11</v>
      </c>
      <c r="C18" s="97"/>
      <c r="D18" s="97"/>
      <c r="E18" s="9">
        <v>944621.7781720201</v>
      </c>
      <c r="F18" s="59" t="s">
        <v>3</v>
      </c>
      <c r="G18" s="1"/>
    </row>
    <row r="19" spans="1:7" ht="15.4" customHeight="1" x14ac:dyDescent="0.25">
      <c r="A19" s="1"/>
      <c r="B19" s="58" t="s">
        <v>36</v>
      </c>
      <c r="C19" s="58"/>
      <c r="D19" s="58"/>
      <c r="E19" s="58"/>
      <c r="F19" s="58"/>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-121699.52613529048</v>
      </c>
      <c r="F24" s="59" t="s">
        <v>3</v>
      </c>
      <c r="G24" s="1"/>
    </row>
    <row r="25" spans="1:7" x14ac:dyDescent="0.25">
      <c r="A25" s="1"/>
      <c r="B25" s="68" t="s">
        <v>63</v>
      </c>
      <c r="C25" s="29"/>
      <c r="D25" s="29"/>
      <c r="E25" s="9">
        <v>-6704.9760843077675</v>
      </c>
      <c r="F25" s="59" t="s">
        <v>3</v>
      </c>
      <c r="G25" s="1"/>
    </row>
    <row r="26" spans="1:7" x14ac:dyDescent="0.25">
      <c r="A26" s="1"/>
      <c r="B26" s="58" t="s">
        <v>76</v>
      </c>
      <c r="C26" s="58"/>
      <c r="D26" s="58"/>
      <c r="E26" s="58"/>
      <c r="F26" s="58"/>
      <c r="G26" s="1"/>
    </row>
    <row r="27" spans="1:7" x14ac:dyDescent="0.25">
      <c r="A27" s="1"/>
      <c r="B27" s="104" t="s">
        <v>77</v>
      </c>
      <c r="C27" s="105"/>
      <c r="D27" s="106"/>
      <c r="E27" s="9">
        <f>'Fane 6. Skattesagen'!G11</f>
        <v>0</v>
      </c>
      <c r="F27" s="59" t="s">
        <v>3</v>
      </c>
      <c r="G27" s="1"/>
    </row>
    <row r="28" spans="1:7" ht="15" customHeight="1" x14ac:dyDescent="0.25">
      <c r="A28" s="1"/>
      <c r="B28" s="36" t="s">
        <v>150</v>
      </c>
      <c r="C28" s="36"/>
      <c r="D28" s="36"/>
      <c r="E28" s="37">
        <f>E16+E18+E22+E24+E25+E27</f>
        <v>4519613.4346733345</v>
      </c>
      <c r="F28" s="38" t="s">
        <v>3</v>
      </c>
      <c r="G28" s="1"/>
    </row>
    <row r="29" spans="1:7" ht="27" customHeight="1" x14ac:dyDescent="0.25">
      <c r="A29" s="1"/>
      <c r="B29" s="93" t="s">
        <v>91</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election activeCell="G26" sqref="G26"/>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92</v>
      </c>
      <c r="C8" s="113"/>
      <c r="D8" s="114"/>
      <c r="E8" s="1"/>
      <c r="F8" s="1"/>
    </row>
    <row r="9" spans="1:6" ht="15" customHeight="1" x14ac:dyDescent="0.25">
      <c r="A9" s="1"/>
      <c r="B9" s="17" t="s">
        <v>25</v>
      </c>
      <c r="C9" s="59" t="s">
        <v>110</v>
      </c>
      <c r="D9" s="59"/>
      <c r="E9" s="1"/>
      <c r="F9" s="1"/>
    </row>
    <row r="10" spans="1:6" x14ac:dyDescent="0.25">
      <c r="A10" s="1"/>
      <c r="B10" s="23" t="s">
        <v>128</v>
      </c>
      <c r="C10" s="8">
        <v>972600</v>
      </c>
      <c r="D10" s="12" t="s">
        <v>3</v>
      </c>
      <c r="E10" s="1"/>
      <c r="F10" s="1"/>
    </row>
    <row r="11" spans="1:6" x14ac:dyDescent="0.25">
      <c r="A11" s="1"/>
      <c r="B11" s="23" t="s">
        <v>129</v>
      </c>
      <c r="C11" s="8">
        <v>3864</v>
      </c>
      <c r="D11" s="12" t="s">
        <v>3</v>
      </c>
      <c r="E11" s="1"/>
      <c r="F11" s="1"/>
    </row>
    <row r="12" spans="1:6" x14ac:dyDescent="0.25">
      <c r="A12" s="1"/>
      <c r="B12" s="23" t="s">
        <v>130</v>
      </c>
      <c r="C12" s="8">
        <v>211</v>
      </c>
      <c r="D12" s="12" t="s">
        <v>3</v>
      </c>
      <c r="E12" s="1"/>
      <c r="F12" s="1"/>
    </row>
    <row r="13" spans="1:6" x14ac:dyDescent="0.25">
      <c r="A13" s="1"/>
      <c r="B13" s="74" t="s">
        <v>93</v>
      </c>
      <c r="C13" s="10">
        <f>SUM(C10:C12)</f>
        <v>976675</v>
      </c>
      <c r="D13" s="11" t="s">
        <v>3</v>
      </c>
      <c r="E13" s="1"/>
      <c r="F13" s="1"/>
    </row>
    <row r="14" spans="1:6" x14ac:dyDescent="0.25">
      <c r="A14" s="1"/>
      <c r="B14" s="74" t="s">
        <v>94</v>
      </c>
      <c r="C14" s="10">
        <f>C13*(1+'Fane 11. Nøgletal'!C15)^2</f>
        <v>1047452.0588280001</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election activeCell="B3" sqref="B3:F4"/>
    </sheetView>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152</v>
      </c>
      <c r="C3" s="107"/>
      <c r="D3" s="107"/>
      <c r="E3" s="107"/>
      <c r="F3" s="107"/>
      <c r="G3" s="1"/>
    </row>
    <row r="4" spans="1:7" ht="15" customHeight="1" x14ac:dyDescent="0.25">
      <c r="A4" s="1"/>
      <c r="B4" s="107"/>
      <c r="C4" s="107"/>
      <c r="D4" s="107"/>
      <c r="E4" s="107"/>
      <c r="F4" s="107"/>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95</v>
      </c>
      <c r="C9" s="120"/>
      <c r="D9" s="121"/>
      <c r="E9" s="8">
        <v>-50450.757375221699</v>
      </c>
      <c r="F9" s="12" t="s">
        <v>3</v>
      </c>
      <c r="G9" s="1"/>
    </row>
    <row r="10" spans="1:7" x14ac:dyDescent="0.25">
      <c r="A10" s="1"/>
      <c r="B10" s="119" t="s">
        <v>131</v>
      </c>
      <c r="C10" s="120"/>
      <c r="D10" s="121"/>
      <c r="E10" s="8">
        <v>-50450.757375221699</v>
      </c>
      <c r="F10" s="12" t="s">
        <v>3</v>
      </c>
      <c r="G10" s="1"/>
    </row>
    <row r="11" spans="1:7" x14ac:dyDescent="0.25">
      <c r="A11" s="1"/>
      <c r="B11" s="74"/>
      <c r="C11" s="22"/>
      <c r="D11" s="22"/>
      <c r="E11" s="22"/>
      <c r="F11" s="75"/>
      <c r="G11" s="1"/>
    </row>
    <row r="12" spans="1:7" ht="68.25" customHeight="1" x14ac:dyDescent="0.25">
      <c r="A12" s="1"/>
      <c r="B12" s="125" t="s">
        <v>132</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96</v>
      </c>
      <c r="C15" s="120"/>
      <c r="D15" s="121"/>
      <c r="E15" s="8">
        <f>-12612.6893438054*2</f>
        <v>-25225.378687610799</v>
      </c>
      <c r="F15" s="12" t="s">
        <v>3</v>
      </c>
      <c r="G15" s="1"/>
    </row>
    <row r="16" spans="1:7" x14ac:dyDescent="0.25">
      <c r="A16" s="1"/>
      <c r="B16" s="119" t="s">
        <v>133</v>
      </c>
      <c r="C16" s="120"/>
      <c r="D16" s="121"/>
      <c r="E16" s="8">
        <f>-12612.6893438054*2</f>
        <v>-25225.378687610799</v>
      </c>
      <c r="F16" s="12" t="s">
        <v>3</v>
      </c>
      <c r="G16" s="1"/>
    </row>
    <row r="17" spans="1:7" x14ac:dyDescent="0.25">
      <c r="A17" s="1"/>
      <c r="B17" s="74"/>
      <c r="C17" s="22"/>
      <c r="D17" s="22"/>
      <c r="E17" s="22"/>
      <c r="F17" s="75"/>
      <c r="G17" s="1"/>
    </row>
    <row r="18" spans="1:7" ht="31.5" customHeight="1" x14ac:dyDescent="0.25">
      <c r="A18" s="1"/>
      <c r="B18" s="125" t="s">
        <v>74</v>
      </c>
      <c r="C18" s="126"/>
      <c r="D18" s="126"/>
      <c r="E18" s="126"/>
      <c r="F18" s="127"/>
      <c r="G18" s="1"/>
    </row>
    <row r="19" spans="1:7" ht="28.5" customHeight="1" x14ac:dyDescent="0.25">
      <c r="A19" s="1"/>
      <c r="B19" s="1"/>
      <c r="C19" s="1"/>
      <c r="D19" s="1"/>
      <c r="E19" s="1"/>
      <c r="F19" s="1"/>
      <c r="G19" s="1"/>
    </row>
    <row r="20" spans="1:7" ht="28.5" customHeight="1" x14ac:dyDescent="0.25">
      <c r="A20" s="1"/>
      <c r="B20" s="65" t="s">
        <v>97</v>
      </c>
      <c r="C20" s="66"/>
      <c r="D20" s="66"/>
      <c r="E20" s="66"/>
      <c r="F20" s="67"/>
      <c r="G20" s="1"/>
    </row>
    <row r="21" spans="1:7" x14ac:dyDescent="0.25">
      <c r="A21" s="1"/>
      <c r="B21" s="69" t="s">
        <v>98</v>
      </c>
      <c r="C21" s="70"/>
      <c r="D21" s="71"/>
      <c r="E21" s="8">
        <v>4627439.1058723563</v>
      </c>
      <c r="F21" s="12" t="s">
        <v>3</v>
      </c>
      <c r="G21" s="1"/>
    </row>
    <row r="22" spans="1:7" x14ac:dyDescent="0.25">
      <c r="A22" s="1"/>
      <c r="B22" s="69" t="s">
        <v>134</v>
      </c>
      <c r="C22" s="70"/>
      <c r="D22" s="71"/>
      <c r="E22" s="8">
        <v>4724444</v>
      </c>
      <c r="F22" s="12" t="s">
        <v>3</v>
      </c>
      <c r="G22" s="1"/>
    </row>
    <row r="23" spans="1:7" x14ac:dyDescent="0.25">
      <c r="A23" s="1"/>
      <c r="B23" s="69" t="s">
        <v>26</v>
      </c>
      <c r="C23" s="70"/>
      <c r="D23" s="71"/>
      <c r="E23" s="8">
        <v>0</v>
      </c>
      <c r="F23" s="12" t="s">
        <v>3</v>
      </c>
      <c r="G23" s="1"/>
    </row>
    <row r="24" spans="1:7" x14ac:dyDescent="0.25">
      <c r="A24" s="1"/>
      <c r="B24" s="60" t="s">
        <v>135</v>
      </c>
      <c r="C24" s="61"/>
      <c r="D24" s="62"/>
      <c r="E24" s="52">
        <f>E21-(E22-E23)</f>
        <v>-97004.894127643667</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136</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-147455.65150286525</v>
      </c>
      <c r="F28" s="12" t="s">
        <v>3</v>
      </c>
      <c r="G28" s="1"/>
    </row>
    <row r="29" spans="1:7" x14ac:dyDescent="0.25">
      <c r="A29" s="1"/>
      <c r="B29" s="122" t="s">
        <v>45</v>
      </c>
      <c r="C29" s="123"/>
      <c r="D29" s="124"/>
      <c r="E29" s="8">
        <v>2</v>
      </c>
      <c r="F29" s="12" t="s">
        <v>18</v>
      </c>
      <c r="G29" s="1"/>
    </row>
    <row r="30" spans="1:7" x14ac:dyDescent="0.25">
      <c r="A30" s="1"/>
      <c r="B30" s="115" t="s">
        <v>75</v>
      </c>
      <c r="C30" s="115"/>
      <c r="D30" s="115"/>
      <c r="E30" s="9">
        <f>E28/E29</f>
        <v>-73727.825751432625</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pE2N7/VcMbeNBa7gIFelYjDz+9/E9MkGnV6t6lDQb9wewxOEytUqEh0UE+k8TKWfeZ1GtziZGwgfpuzX0TcJw==" saltValue="1AheQEYVvLDUf2fltE1oG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topLeftCell="A43"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127</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124</v>
      </c>
      <c r="C8" s="113"/>
      <c r="D8" s="113"/>
      <c r="E8" s="113"/>
      <c r="F8" s="113"/>
      <c r="G8" s="113"/>
      <c r="H8" s="114"/>
      <c r="I8" s="1"/>
    </row>
    <row r="9" spans="1:9" ht="15" customHeight="1" x14ac:dyDescent="0.25">
      <c r="A9" s="1"/>
      <c r="B9" s="104" t="s">
        <v>125</v>
      </c>
      <c r="C9" s="105"/>
      <c r="D9" s="105"/>
      <c r="E9" s="105"/>
      <c r="F9" s="105"/>
      <c r="G9" s="105"/>
      <c r="H9" s="106"/>
      <c r="I9" s="1"/>
    </row>
    <row r="10" spans="1:9" x14ac:dyDescent="0.25">
      <c r="A10" s="1"/>
      <c r="B10" s="109" t="s">
        <v>142</v>
      </c>
      <c r="C10" s="110"/>
      <c r="D10" s="110"/>
      <c r="E10" s="110"/>
      <c r="F10" s="111"/>
      <c r="G10" s="53">
        <v>0</v>
      </c>
      <c r="H10" s="8" t="s">
        <v>3</v>
      </c>
      <c r="I10" s="1"/>
    </row>
    <row r="11" spans="1:9" x14ac:dyDescent="0.25">
      <c r="A11" s="1"/>
      <c r="B11" s="109" t="s">
        <v>143</v>
      </c>
      <c r="C11" s="110"/>
      <c r="D11" s="110"/>
      <c r="E11" s="110"/>
      <c r="F11" s="111"/>
      <c r="G11" s="53">
        <v>0</v>
      </c>
      <c r="H11" s="8" t="s">
        <v>3</v>
      </c>
      <c r="I11" s="1"/>
    </row>
    <row r="12" spans="1:9" x14ac:dyDescent="0.25">
      <c r="A12" s="1"/>
      <c r="B12" s="109" t="s">
        <v>144</v>
      </c>
      <c r="C12" s="110"/>
      <c r="D12" s="110"/>
      <c r="E12" s="110"/>
      <c r="F12" s="111"/>
      <c r="G12" s="8">
        <v>0</v>
      </c>
      <c r="H12" s="8" t="s">
        <v>3</v>
      </c>
      <c r="I12" s="1"/>
    </row>
    <row r="13" spans="1:9" x14ac:dyDescent="0.25">
      <c r="A13" s="1"/>
      <c r="B13" s="109" t="s">
        <v>145</v>
      </c>
      <c r="C13" s="110"/>
      <c r="D13" s="110"/>
      <c r="E13" s="110"/>
      <c r="F13" s="111"/>
      <c r="G13" s="8">
        <v>0</v>
      </c>
      <c r="H13" s="8" t="s">
        <v>3</v>
      </c>
      <c r="I13" s="1"/>
    </row>
    <row r="14" spans="1:9" x14ac:dyDescent="0.25">
      <c r="A14" s="1"/>
      <c r="B14" s="109" t="s">
        <v>146</v>
      </c>
      <c r="C14" s="110"/>
      <c r="D14" s="110"/>
      <c r="E14" s="110"/>
      <c r="F14" s="111"/>
      <c r="G14" s="8">
        <v>0</v>
      </c>
      <c r="H14" s="8" t="s">
        <v>3</v>
      </c>
      <c r="I14" s="1"/>
    </row>
    <row r="15" spans="1:9" x14ac:dyDescent="0.25">
      <c r="A15" s="1"/>
      <c r="B15" s="109" t="s">
        <v>147</v>
      </c>
      <c r="C15" s="110"/>
      <c r="D15" s="110"/>
      <c r="E15" s="110"/>
      <c r="F15" s="111"/>
      <c r="G15" s="8">
        <v>0</v>
      </c>
      <c r="H15" s="8" t="s">
        <v>3</v>
      </c>
      <c r="I15" s="1"/>
    </row>
    <row r="16" spans="1:9" x14ac:dyDescent="0.25">
      <c r="A16" s="1"/>
      <c r="B16" s="109" t="s">
        <v>148</v>
      </c>
      <c r="C16" s="110"/>
      <c r="D16" s="110"/>
      <c r="E16" s="110"/>
      <c r="F16" s="111"/>
      <c r="G16" s="8">
        <v>0</v>
      </c>
      <c r="H16" s="8" t="s">
        <v>3</v>
      </c>
      <c r="I16" s="1"/>
    </row>
    <row r="17" spans="1:9" x14ac:dyDescent="0.25">
      <c r="A17" s="1"/>
      <c r="B17" s="109" t="s">
        <v>149</v>
      </c>
      <c r="C17" s="110"/>
      <c r="D17" s="110"/>
      <c r="E17" s="110"/>
      <c r="F17" s="111"/>
      <c r="G17" s="8">
        <v>0</v>
      </c>
      <c r="H17" s="8" t="s">
        <v>3</v>
      </c>
      <c r="I17" s="1"/>
    </row>
    <row r="18" spans="1:9" x14ac:dyDescent="0.25">
      <c r="A18" s="1"/>
      <c r="B18" s="112" t="s">
        <v>126</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7.1.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2022-08-17T08:19:26Z</dcterms:modified>
</cp:coreProperties>
</file>