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Vejen Spildevand (S102)\ØR2025\"/>
    </mc:Choice>
  </mc:AlternateContent>
  <xr:revisionPtr revIDLastSave="0" documentId="13_ncr:1_{67B6EDAE-D3D7-4821-A4BC-E65401E1138A}"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<sst xmlns="http://schemas.openxmlformats.org/spreadsheetml/2006/main" count="551" uniqueCount="235">
  <si>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</si>
  <si>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</si>
  <si>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</si>
  <si>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</si>
  <si>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</si>
  <si>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</si>
  <si>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</si>
  <si>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</si>
  <si>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</si>
  <si>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</si>
  <si>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</si>
  <si>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</si>
  <si>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</si>
  <si>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</si>
  <si>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</si>
  <si>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</si>
  <si>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</si>
  <si>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</si>
  <si>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</si>
  <si>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</si>
  <si>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</si>
  <si>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</si>
  <si>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</si>
  <si>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</si>
  <si>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</si>
  <si>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</si>
  <si>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</si>
  <si>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</si>
  <si>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</si>
  <si>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</si>
  <si>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</si>
  <si>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</si>
  <si>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</si>
  <si>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</si>
  <si>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</si>
  <si>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</si>
  <si>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</si>
  <si>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</si>
  <si>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</si>
  <si>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</si>
  <si>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</si>
  <si>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</si>
  <si>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</si>
  <si>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</si>
  <si>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</si>
  <si>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</si>
  <si>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</si>
  <si>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</si>
  <si>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</si>
  <si>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</si>
  <si>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</si>
  <si>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</si>
  <si>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</si>
  <si>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</si>
  <si>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</si>
  <si>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</si>
  <si>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</si>
  <si>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</si>
  <si>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</si>
  <si>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</si>
  <si>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</si>
  <si>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</si>
  <si>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</si>
  <si>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</si>
  <si>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</si>
  <si>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</si>
  <si>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</si>
  <si>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</si>
  <si>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</si>
  <si>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</si>
  <si>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</si>
  <si>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</si>
  <si>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</si>
  <si>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</si>
  <si>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</si>
  <si>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</si>
  <si>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</si>
  <si>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</si>
  <si>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</si>
  <si>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</si>
  <si>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</si>
  <si>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</si>
  <si>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</si>
  <si>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</si>
  <si>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</si>
  <si>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</si>
  <si>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</si>
  <si>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</si>
  <si>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</si>
  <si>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</si>
  <si>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</si>
  <si>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</si>
  <si>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</si>
  <si>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</si>
  <si>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</si>
  <si>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</si>
  <si>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</si>
  <si>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</si>
  <si>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</si>
  <si>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</si>
  <si>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</si>
  <si>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</si>
  <si>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</si>
  <si>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</si>
  <si>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</si>
  <si>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</si>
  <si>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</si>
  <si>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</si>
  <si>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</si>
  <si>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</si>
  <si>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</si>
  <si>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</si>
  <si>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</si>
  <si>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</si>
  <si>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</si>
  <si>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</si>
  <si>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</si>
  <si>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</si>
  <si>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</si>
  <si>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</si>
  <si>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</si>
  <si>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</si>
  <si>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</si>
  <si>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</si>
  <si>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</si>
  <si>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</si>
  <si>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</si>
  <si>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</si>
  <si>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</si>
  <si>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</si>
  <si>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</si>
  <si>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</si>
  <si>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</si>
  <si>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</si>
  <si>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</si>
  <si>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</si>
  <si>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</si>
  <si>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</si>
  <si>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</si>
  <si>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</si>
  <si>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</si>
  <si>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</si>
  <si>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</si>
  <si>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</si>
  <si>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</si>
  <si>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</si>
  <si>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</si>
  <si>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</si>
  <si>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</si>
  <si>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</si>
  <si>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</si>
  <si>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</si>
  <si>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</si>
  <si>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</si>
  <si>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</si>
  <si>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</si>
  <si>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</si>
  <si>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</si>
  <si>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</si>
  <si>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</si>
  <si>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</si>
  <si>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</si>
  <si>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</si>
  <si>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</si>
  <si>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</si>
  <si>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</si>
  <si>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</si>
  <si>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</si>
  <si>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</si>
  <si>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</si>
  <si>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</si>
  <si>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</si>
  <si>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</si>
  <si>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</si>
  <si>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</si>
  <si>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</si>
  <si>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</si>
  <si>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</si>
  <si>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</si>
  <si>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</si>
  <si>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</si>
  <si>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</si>
  <si>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</si>
  <si>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</si>
  <si>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</si>
  <si>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</si>
  <si>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</si>
  <si>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</si>
  <si>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</si>
  <si>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</si>
  <si>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</si>
  <si>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</si>
  <si>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</si>
  <si>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</si>
  <si>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</si>
  <si>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</si>
  <si>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</si>
  <si>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</si>
  <si>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</si>
  <si>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</si>
  <si>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</si>
  <si>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</si>
  <si>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</si>
  <si>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</si>
  <si>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</si>
  <si>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</si>
  <si>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</si>
  <si>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</si>
  <si>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</si>
  <si>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</si>
  <si>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</si>
  <si>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</si>
  <si>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</si>
  <si>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</si>
  <si>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</si>
  <si>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</si>
  <si>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</si>
  <si>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</si>
  <si>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</si>
  <si>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</si>
  <si>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</si>
  <si>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</si>
  <si>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</si>
  <si>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</si>
  <si>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</si>
  <si>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</si>
  <si>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Afgift til Forsyningssekretariatet</t>
  </si>
  <si>
    <t>Køb af ydelser og produkter fra andre vandselskaber reguleret af vandsektorloven</t>
  </si>
  <si>
    <t>Ejendomsskatter</t>
  </si>
  <si>
    <t>Erstatninger</t>
  </si>
  <si>
    <t>2 Seperatkloakering Lindknud</t>
  </si>
  <si>
    <t>4 Byggemodning</t>
  </si>
  <si>
    <t>Nye tilslutninger</t>
  </si>
  <si>
    <t>3 Udledningstilladelser</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</si>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</sst>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6" t="s">
        <v>4</v>
      </c>
      <c r="D6" s="86"/>
      <c r="E6" s="86"/>
      <c r="F6" s="86"/>
      <c r="G6" s="3"/>
    </row>
    <row r="7" spans="1:7" ht="15" customHeight="1" x14ac:dyDescent="0.25">
      <c r="A7" s="1"/>
      <c r="B7" s="3"/>
      <c r="C7" s="86"/>
      <c r="D7" s="86"/>
      <c r="E7" s="86"/>
      <c r="F7" s="86"/>
      <c r="G7" s="3"/>
    </row>
    <row r="8" spans="1:7" ht="15.75" x14ac:dyDescent="0.25">
      <c r="A8" s="1"/>
      <c r="B8" s="4"/>
      <c r="C8" s="94" t="s">
        <v>225</v>
      </c>
      <c r="D8" s="94"/>
      <c r="E8" s="94"/>
      <c r="F8" s="94"/>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3" t="s">
        <v>5</v>
      </c>
      <c r="D11" s="93"/>
      <c r="E11" s="93"/>
      <c r="F11" s="93"/>
      <c r="G11" s="5"/>
    </row>
    <row r="12" spans="1:7" x14ac:dyDescent="0.25">
      <c r="A12" s="1"/>
      <c r="B12" s="1"/>
      <c r="C12" s="1"/>
      <c r="D12" s="1"/>
      <c r="E12" s="1"/>
      <c r="F12" s="1"/>
      <c r="G12" s="5"/>
    </row>
    <row r="13" spans="1:7" x14ac:dyDescent="0.25">
      <c r="A13" s="1"/>
      <c r="B13" s="6" t="s">
        <v>6</v>
      </c>
      <c r="C13" s="98" t="s">
        <v>127</v>
      </c>
      <c r="D13" s="99"/>
      <c r="E13" s="99"/>
      <c r="F13" s="100"/>
      <c r="G13" s="5"/>
    </row>
    <row r="14" spans="1:7" x14ac:dyDescent="0.25">
      <c r="A14" s="1"/>
      <c r="B14" s="6" t="s">
        <v>16</v>
      </c>
      <c r="C14" s="83" t="s">
        <v>185</v>
      </c>
      <c r="D14" s="84"/>
      <c r="E14" s="84"/>
      <c r="F14" s="85"/>
      <c r="G14" s="5"/>
    </row>
    <row r="15" spans="1:7" x14ac:dyDescent="0.25">
      <c r="A15" s="1"/>
      <c r="B15" s="6" t="s">
        <v>30</v>
      </c>
      <c r="C15" s="83" t="s">
        <v>149</v>
      </c>
      <c r="D15" s="84"/>
      <c r="E15" s="84"/>
      <c r="F15" s="85"/>
      <c r="G15" s="5"/>
    </row>
    <row r="16" spans="1:7" x14ac:dyDescent="0.25">
      <c r="A16" s="1"/>
      <c r="B16" s="6" t="s">
        <v>31</v>
      </c>
      <c r="C16" s="83" t="s">
        <v>151</v>
      </c>
      <c r="D16" s="84"/>
      <c r="E16" s="84"/>
      <c r="F16" s="85"/>
      <c r="G16" s="5"/>
    </row>
    <row r="17" spans="1:8" x14ac:dyDescent="0.25">
      <c r="A17" s="1"/>
      <c r="B17" s="6" t="s">
        <v>61</v>
      </c>
      <c r="C17" s="83" t="s">
        <v>152</v>
      </c>
      <c r="D17" s="84"/>
      <c r="E17" s="84"/>
      <c r="F17" s="85"/>
      <c r="G17" s="5"/>
    </row>
    <row r="18" spans="1:8" x14ac:dyDescent="0.25">
      <c r="A18" s="1"/>
      <c r="B18" s="6" t="s">
        <v>53</v>
      </c>
      <c r="C18" s="95" t="s">
        <v>45</v>
      </c>
      <c r="D18" s="96"/>
      <c r="E18" s="96"/>
      <c r="F18" s="97"/>
      <c r="G18" s="5"/>
    </row>
    <row r="19" spans="1:8" x14ac:dyDescent="0.25">
      <c r="A19" s="1"/>
      <c r="B19" s="6" t="s">
        <v>54</v>
      </c>
      <c r="C19" s="95" t="s">
        <v>46</v>
      </c>
      <c r="D19" s="96"/>
      <c r="E19" s="96"/>
      <c r="F19" s="97"/>
      <c r="G19" s="5"/>
    </row>
    <row r="20" spans="1:8" x14ac:dyDescent="0.25">
      <c r="A20" s="1"/>
      <c r="B20" s="6" t="s">
        <v>7</v>
      </c>
      <c r="C20" s="95" t="s">
        <v>10</v>
      </c>
      <c r="D20" s="96"/>
      <c r="E20" s="96"/>
      <c r="F20" s="97"/>
      <c r="G20" s="5"/>
    </row>
    <row r="21" spans="1:8" x14ac:dyDescent="0.25">
      <c r="A21" s="1"/>
      <c r="B21" s="6" t="s">
        <v>55</v>
      </c>
      <c r="C21" s="87" t="s">
        <v>12</v>
      </c>
      <c r="D21" s="88"/>
      <c r="E21" s="88"/>
      <c r="F21" s="89"/>
      <c r="G21" s="5"/>
    </row>
    <row r="22" spans="1:8" x14ac:dyDescent="0.25">
      <c r="A22" s="1"/>
      <c r="B22" s="6" t="s">
        <v>39</v>
      </c>
      <c r="C22" s="90" t="s">
        <v>153</v>
      </c>
      <c r="D22" s="91"/>
      <c r="E22" s="91"/>
      <c r="F22" s="92"/>
      <c r="G22" s="5"/>
    </row>
    <row r="23" spans="1:8" x14ac:dyDescent="0.25">
      <c r="A23" s="1"/>
      <c r="B23" s="6" t="s">
        <v>8</v>
      </c>
      <c r="C23" s="90" t="s">
        <v>112</v>
      </c>
      <c r="D23" s="91"/>
      <c r="E23" s="91"/>
      <c r="F23" s="92"/>
      <c r="G23" s="5"/>
    </row>
    <row r="24" spans="1:8" x14ac:dyDescent="0.25">
      <c r="A24" s="1"/>
      <c r="B24" s="6" t="s">
        <v>9</v>
      </c>
      <c r="C24" s="90" t="s">
        <v>154</v>
      </c>
      <c r="D24" s="91"/>
      <c r="E24" s="91"/>
      <c r="F24" s="92"/>
      <c r="G24" s="5"/>
    </row>
    <row r="25" spans="1:8" x14ac:dyDescent="0.25">
      <c r="A25" s="1"/>
      <c r="B25" s="6" t="s">
        <v>97</v>
      </c>
      <c r="C25" s="90" t="s">
        <v>91</v>
      </c>
      <c r="D25" s="91"/>
      <c r="E25" s="91"/>
      <c r="F25" s="92"/>
      <c r="G25" s="1"/>
    </row>
    <row r="26" spans="1:8" x14ac:dyDescent="0.25">
      <c r="A26" s="1"/>
      <c r="B26" s="6" t="s">
        <v>98</v>
      </c>
      <c r="C26" s="90" t="s">
        <v>40</v>
      </c>
      <c r="D26" s="91"/>
      <c r="E26" s="91"/>
      <c r="F26" s="92"/>
      <c r="G26" s="1"/>
    </row>
    <row r="27" spans="1:8" x14ac:dyDescent="0.25">
      <c r="A27" s="1"/>
      <c r="B27" s="6" t="s">
        <v>99</v>
      </c>
      <c r="C27" s="90" t="s">
        <v>41</v>
      </c>
      <c r="D27" s="91"/>
      <c r="E27" s="91"/>
      <c r="F27" s="92"/>
      <c r="G27" s="1"/>
    </row>
    <row r="28" spans="1:8" x14ac:dyDescent="0.25">
      <c r="A28" s="1"/>
      <c r="B28" s="6" t="s">
        <v>15</v>
      </c>
      <c r="C28" s="90" t="s">
        <v>42</v>
      </c>
      <c r="D28" s="91"/>
      <c r="E28" s="91"/>
      <c r="F28" s="92"/>
      <c r="G28" s="1"/>
      <c r="H28" s="2" t="s">
        <v>150</v>
      </c>
    </row>
    <row r="29" spans="1:8" x14ac:dyDescent="0.25">
      <c r="A29" s="1"/>
      <c r="B29" s="6" t="s">
        <v>33</v>
      </c>
      <c r="C29" s="90" t="s">
        <v>68</v>
      </c>
      <c r="D29" s="91"/>
      <c r="E29" s="91"/>
      <c r="F29" s="92"/>
      <c r="G29" s="1"/>
    </row>
    <row r="30" spans="1:8" x14ac:dyDescent="0.25">
      <c r="A30" s="1"/>
      <c r="B30" s="6" t="s">
        <v>34</v>
      </c>
      <c r="C30" s="90" t="s">
        <v>32</v>
      </c>
      <c r="D30" s="91"/>
      <c r="E30" s="91"/>
      <c r="F30" s="92"/>
      <c r="G30" s="1"/>
    </row>
    <row r="31" spans="1:8" x14ac:dyDescent="0.25">
      <c r="A31" s="1"/>
      <c r="B31" s="6" t="s">
        <v>100</v>
      </c>
      <c r="C31" s="101" t="s">
        <v>52</v>
      </c>
      <c r="D31" s="102"/>
      <c r="E31" s="102"/>
      <c r="F31" s="103"/>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OCe9R/nj5JiSYc0HbfBQZ72nxCKvWIrh065mv02fRTMTiMsZrVTQt9iRBRvi7+YxB/iI2bOz3CJ8zrSWll02Ig==" saltValue="PVNaZQGq3iWVL2IwRh4QHg=="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165</v>
      </c>
      <c r="C8" s="109"/>
      <c r="D8" s="110"/>
      <c r="E8" s="1"/>
    </row>
    <row r="9" spans="1:5" ht="15" customHeight="1" x14ac:dyDescent="0.25">
      <c r="A9" s="1"/>
      <c r="B9" s="27" t="s">
        <v>28</v>
      </c>
      <c r="C9" s="67" t="s">
        <v>166</v>
      </c>
      <c r="D9" s="11"/>
      <c r="E9" s="1"/>
    </row>
    <row r="10" spans="1:5" ht="15" customHeight="1" x14ac:dyDescent="0.25">
      <c r="A10" s="1"/>
      <c r="B10" s="71" t="s">
        <v>226</v>
      </c>
      <c r="C10" s="72">
        <v>78307</v>
      </c>
      <c r="D10" s="14" t="s">
        <v>3</v>
      </c>
      <c r="E10" s="1"/>
    </row>
    <row r="11" spans="1:5" ht="15" customHeight="1" x14ac:dyDescent="0.25">
      <c r="A11" s="1"/>
      <c r="B11" s="71" t="s">
        <v>227</v>
      </c>
      <c r="C11" s="72">
        <v>293141.59999999998</v>
      </c>
      <c r="D11" s="14" t="s">
        <v>3</v>
      </c>
      <c r="E11" s="1"/>
    </row>
    <row r="12" spans="1:5" x14ac:dyDescent="0.25">
      <c r="A12" s="1"/>
      <c r="B12" s="71" t="s">
        <v>228</v>
      </c>
      <c r="C12" s="72">
        <v>75663</v>
      </c>
      <c r="D12" s="14" t="s">
        <v>3</v>
      </c>
      <c r="E12" s="1"/>
    </row>
    <row r="13" spans="1:5" x14ac:dyDescent="0.25">
      <c r="A13" s="1"/>
      <c r="B13" s="71" t="s">
        <v>229</v>
      </c>
      <c r="C13" s="72">
        <v>132433.26</v>
      </c>
      <c r="D13" s="14" t="s">
        <v>3</v>
      </c>
      <c r="E13" s="1"/>
    </row>
    <row r="14" spans="1:5" x14ac:dyDescent="0.25">
      <c r="A14" s="1"/>
      <c r="B14" s="71"/>
      <c r="C14" s="72"/>
      <c r="D14" s="14" t="s">
        <v>3</v>
      </c>
      <c r="E14" s="1"/>
    </row>
    <row r="15" spans="1:5" x14ac:dyDescent="0.25">
      <c r="A15" s="1"/>
      <c r="B15" s="71"/>
      <c r="C15" s="72"/>
      <c r="D15" s="14" t="s">
        <v>3</v>
      </c>
      <c r="E15" s="1"/>
    </row>
    <row r="16" spans="1:5" x14ac:dyDescent="0.25">
      <c r="A16" s="1"/>
      <c r="B16" s="71"/>
      <c r="C16" s="72"/>
      <c r="D16" s="14" t="s">
        <v>3</v>
      </c>
      <c r="E16" s="1"/>
    </row>
    <row r="17" spans="1:5" x14ac:dyDescent="0.25">
      <c r="A17" s="1"/>
      <c r="B17" s="71"/>
      <c r="C17" s="72"/>
      <c r="D17" s="14" t="s">
        <v>3</v>
      </c>
      <c r="E17" s="1"/>
    </row>
    <row r="18" spans="1:5" x14ac:dyDescent="0.25">
      <c r="A18" s="1"/>
      <c r="B18" s="71"/>
      <c r="C18" s="72"/>
      <c r="D18" s="14" t="s">
        <v>3</v>
      </c>
      <c r="E18" s="1"/>
    </row>
    <row r="19" spans="1:5" x14ac:dyDescent="0.25">
      <c r="A19" s="1"/>
      <c r="B19" s="71"/>
      <c r="C19" s="72"/>
      <c r="D19" s="14" t="s">
        <v>3</v>
      </c>
      <c r="E19" s="1"/>
    </row>
    <row r="20" spans="1:5" x14ac:dyDescent="0.25">
      <c r="A20" s="1"/>
      <c r="B20" s="33" t="s">
        <v>167</v>
      </c>
      <c r="C20" s="12">
        <f>SUM(C10:C19)</f>
        <v>579544.86</v>
      </c>
      <c r="D20" s="13" t="s">
        <v>3</v>
      </c>
      <c r="E20" s="1"/>
    </row>
    <row r="21" spans="1:5" x14ac:dyDescent="0.25">
      <c r="A21" s="1"/>
      <c r="B21" s="33" t="s">
        <v>168</v>
      </c>
      <c r="C21" s="12">
        <f>C20*(1+'Fane 15. Nøgletal'!C10)^2</f>
        <v>658940.00798165344</v>
      </c>
      <c r="D21" s="13" t="s">
        <v>3</v>
      </c>
      <c r="E21" s="1"/>
    </row>
    <row r="22" spans="1:5" x14ac:dyDescent="0.25">
      <c r="A22" s="1"/>
      <c r="B22" s="16"/>
      <c r="C22" s="15"/>
      <c r="D22" s="15"/>
      <c r="E22" s="1"/>
    </row>
    <row r="23" spans="1:5" x14ac:dyDescent="0.25">
      <c r="A23" s="1"/>
      <c r="B23" s="16"/>
      <c r="C23" s="15"/>
      <c r="D23" s="15"/>
      <c r="E23" s="1"/>
    </row>
    <row r="24" spans="1:5" x14ac:dyDescent="0.25">
      <c r="A24" s="1"/>
      <c r="B24" s="108" t="s">
        <v>60</v>
      </c>
      <c r="C24" s="109"/>
      <c r="D24" s="110"/>
      <c r="E24" s="1"/>
    </row>
    <row r="25" spans="1:5" x14ac:dyDescent="0.25">
      <c r="A25" s="1"/>
      <c r="B25" s="37" t="s">
        <v>72</v>
      </c>
      <c r="C25" s="9"/>
      <c r="D25" s="14" t="s">
        <v>3</v>
      </c>
      <c r="E25" s="1"/>
    </row>
    <row r="26" spans="1:5" x14ac:dyDescent="0.25">
      <c r="A26" s="1"/>
      <c r="B26" s="37" t="s">
        <v>83</v>
      </c>
      <c r="C26" s="9"/>
      <c r="D26" s="14" t="s">
        <v>3</v>
      </c>
      <c r="E26" s="1"/>
    </row>
    <row r="27" spans="1:5" x14ac:dyDescent="0.25">
      <c r="A27" s="1"/>
      <c r="B27" s="37" t="s">
        <v>148</v>
      </c>
      <c r="C27" s="9"/>
      <c r="D27" s="14" t="s">
        <v>3</v>
      </c>
      <c r="E27" s="1"/>
    </row>
    <row r="28" spans="1:5" x14ac:dyDescent="0.25">
      <c r="A28" s="1"/>
      <c r="B28" s="34" t="s">
        <v>169</v>
      </c>
      <c r="C28" s="9"/>
      <c r="D28" s="36" t="s">
        <v>3</v>
      </c>
      <c r="E28" s="1"/>
    </row>
    <row r="29" spans="1:5" x14ac:dyDescent="0.25">
      <c r="A29" s="1"/>
      <c r="B29" s="108"/>
      <c r="C29" s="109"/>
      <c r="D29" s="110"/>
      <c r="E29" s="1"/>
    </row>
    <row r="30" spans="1:5" x14ac:dyDescent="0.25">
      <c r="A30" s="1"/>
      <c r="B30" s="1"/>
      <c r="C30" s="1"/>
      <c r="D30" s="1"/>
      <c r="E30" s="1"/>
    </row>
    <row r="31" spans="1:5" x14ac:dyDescent="0.25">
      <c r="A31" s="1"/>
      <c r="B31" s="1"/>
      <c r="C31" s="1"/>
      <c r="D31" s="1"/>
      <c r="E31" s="1"/>
    </row>
    <row r="32" spans="1:5" x14ac:dyDescent="0.25">
      <c r="A32" s="1"/>
      <c r="B32" s="108" t="s">
        <v>47</v>
      </c>
      <c r="C32" s="109"/>
      <c r="D32" s="110"/>
      <c r="E32" s="1"/>
    </row>
    <row r="33" spans="1:5" x14ac:dyDescent="0.25">
      <c r="A33" s="1"/>
      <c r="B33" s="37" t="s">
        <v>72</v>
      </c>
      <c r="C33" s="9"/>
      <c r="D33" s="14" t="s">
        <v>3</v>
      </c>
      <c r="E33" s="1"/>
    </row>
    <row r="34" spans="1:5" x14ac:dyDescent="0.25">
      <c r="A34" s="1"/>
      <c r="B34" s="37" t="s">
        <v>83</v>
      </c>
      <c r="C34" s="9"/>
      <c r="D34" s="14" t="s">
        <v>3</v>
      </c>
      <c r="E34" s="1"/>
    </row>
    <row r="35" spans="1:5" x14ac:dyDescent="0.25">
      <c r="A35" s="1"/>
      <c r="B35" s="37" t="s">
        <v>148</v>
      </c>
      <c r="C35" s="9"/>
      <c r="D35" s="14" t="s">
        <v>3</v>
      </c>
      <c r="E35" s="1"/>
    </row>
    <row r="36" spans="1:5" x14ac:dyDescent="0.25">
      <c r="A36" s="1"/>
      <c r="B36" s="34" t="s">
        <v>169</v>
      </c>
      <c r="C36" s="9"/>
      <c r="D36" s="36" t="s">
        <v>3</v>
      </c>
      <c r="E36" s="1"/>
    </row>
    <row r="37" spans="1:5" x14ac:dyDescent="0.25">
      <c r="A37" s="1"/>
      <c r="B37" s="108"/>
      <c r="C37" s="109"/>
      <c r="D37" s="110"/>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1KmqHbpUl2yOXWGySoMiusC4gim84t8Y+JJanmv4si8TVv2DeryAU/WxPbCutgVqt64Lbs3+VzQHm8l2qtzksA==" saltValue="QIAmwCO/VhyvudwbgTHto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200</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4"/>
      <c r="C6" s="74"/>
      <c r="D6" s="74"/>
      <c r="E6" s="1"/>
    </row>
    <row r="7" spans="1:5" x14ac:dyDescent="0.25">
      <c r="A7" s="1"/>
      <c r="B7" s="1"/>
      <c r="C7" s="1"/>
      <c r="D7" s="1"/>
      <c r="E7" s="1"/>
    </row>
    <row r="8" spans="1:5" x14ac:dyDescent="0.25">
      <c r="A8" s="1"/>
      <c r="B8" s="108" t="s">
        <v>77</v>
      </c>
      <c r="C8" s="109"/>
      <c r="D8" s="110"/>
      <c r="E8" s="1"/>
    </row>
    <row r="9" spans="1:5" x14ac:dyDescent="0.25">
      <c r="A9" s="1"/>
      <c r="B9" s="65" t="s">
        <v>203</v>
      </c>
      <c r="C9" s="9">
        <v>16564459.43196407</v>
      </c>
      <c r="D9" s="14" t="s">
        <v>3</v>
      </c>
      <c r="E9" s="1"/>
    </row>
    <row r="10" spans="1:5" x14ac:dyDescent="0.25">
      <c r="A10" s="1"/>
      <c r="B10" s="33"/>
      <c r="C10" s="28"/>
      <c r="D10" s="19"/>
      <c r="E10" s="1"/>
    </row>
    <row r="11" spans="1:5" ht="53.25" customHeight="1" x14ac:dyDescent="0.25">
      <c r="A11" s="1"/>
      <c r="B11" s="119" t="s">
        <v>211</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5" t="s">
        <v>201</v>
      </c>
      <c r="C14" s="9">
        <v>0</v>
      </c>
      <c r="D14" s="14" t="s">
        <v>3</v>
      </c>
      <c r="E14" s="1"/>
    </row>
    <row r="15" spans="1:5" x14ac:dyDescent="0.25">
      <c r="A15" s="1"/>
      <c r="B15" s="65" t="s">
        <v>202</v>
      </c>
      <c r="C15" s="9">
        <v>0</v>
      </c>
      <c r="D15" s="14" t="s">
        <v>3</v>
      </c>
      <c r="E15" s="1"/>
    </row>
    <row r="16" spans="1:5" x14ac:dyDescent="0.25">
      <c r="A16" s="1"/>
      <c r="B16" s="33"/>
      <c r="C16" s="28"/>
      <c r="D16" s="19"/>
      <c r="E16" s="1"/>
    </row>
    <row r="17" spans="1:5" ht="29.25" customHeight="1" x14ac:dyDescent="0.25">
      <c r="A17" s="1"/>
      <c r="B17" s="119" t="s">
        <v>121</v>
      </c>
      <c r="C17" s="120"/>
      <c r="D17" s="121"/>
      <c r="E17" s="1"/>
    </row>
    <row r="18" spans="1:5" x14ac:dyDescent="0.25">
      <c r="A18" s="1"/>
      <c r="B18" s="1"/>
      <c r="C18" s="1"/>
      <c r="D18" s="1"/>
      <c r="E18" s="1"/>
    </row>
    <row r="19" spans="1:5" x14ac:dyDescent="0.25">
      <c r="A19" s="1"/>
      <c r="B19" s="75" t="s">
        <v>204</v>
      </c>
      <c r="C19" s="76"/>
      <c r="D19" s="77"/>
      <c r="E19" s="1"/>
    </row>
    <row r="20" spans="1:5" x14ac:dyDescent="0.25">
      <c r="A20" s="1"/>
      <c r="B20" s="65" t="s">
        <v>205</v>
      </c>
      <c r="C20" s="9">
        <v>66605409.016238697</v>
      </c>
      <c r="D20" s="14" t="s">
        <v>3</v>
      </c>
      <c r="E20" s="1"/>
    </row>
    <row r="21" spans="1:5" x14ac:dyDescent="0.25">
      <c r="A21" s="1"/>
      <c r="B21" s="65" t="s">
        <v>206</v>
      </c>
      <c r="C21" s="9">
        <v>50518597</v>
      </c>
      <c r="D21" s="14" t="s">
        <v>3</v>
      </c>
      <c r="E21" s="1"/>
    </row>
    <row r="22" spans="1:5" x14ac:dyDescent="0.25">
      <c r="A22" s="1"/>
      <c r="B22" s="65" t="s">
        <v>29</v>
      </c>
      <c r="C22" s="9">
        <v>0</v>
      </c>
      <c r="D22" s="14" t="s">
        <v>3</v>
      </c>
      <c r="E22" s="1"/>
    </row>
    <row r="23" spans="1:5" x14ac:dyDescent="0.25">
      <c r="A23" s="1"/>
      <c r="B23" s="81" t="s">
        <v>207</v>
      </c>
      <c r="C23" s="57">
        <f>C20-C21-C22</f>
        <v>16086812.016238697</v>
      </c>
      <c r="D23" s="17" t="s">
        <v>3</v>
      </c>
      <c r="E23" s="1"/>
    </row>
    <row r="24" spans="1:5" x14ac:dyDescent="0.25">
      <c r="A24" s="1"/>
      <c r="B24" s="33"/>
      <c r="C24" s="28"/>
      <c r="D24" s="19"/>
      <c r="E24" s="1"/>
    </row>
    <row r="25" spans="1:5" x14ac:dyDescent="0.25">
      <c r="A25" s="1"/>
      <c r="B25" s="1"/>
      <c r="C25" s="1"/>
      <c r="D25" s="1"/>
      <c r="E25" s="1"/>
    </row>
    <row r="26" spans="1:5" x14ac:dyDescent="0.25">
      <c r="A26" s="1"/>
      <c r="B26" s="108" t="s">
        <v>208</v>
      </c>
      <c r="C26" s="109"/>
      <c r="D26" s="110"/>
      <c r="E26" s="1"/>
    </row>
    <row r="27" spans="1:5" x14ac:dyDescent="0.25">
      <c r="A27" s="1"/>
      <c r="B27" s="81" t="s">
        <v>209</v>
      </c>
      <c r="C27" s="57">
        <f>IF(AND(C15&lt;0,C23&gt;0,ABS(SUM(C14:C15))&lt;C23),ABS(C14),IF(AND(C15&lt;0,C23&gt;0,ABS(SUM(C14:C15))&gt;C23),SUM(C14,C23),C15))</f>
        <v>0</v>
      </c>
      <c r="D27" s="17" t="s">
        <v>3</v>
      </c>
      <c r="E27" s="1"/>
    </row>
    <row r="28" spans="1:5" x14ac:dyDescent="0.25">
      <c r="A28" s="1"/>
      <c r="B28" s="108"/>
      <c r="C28" s="109"/>
      <c r="D28" s="110"/>
      <c r="E28" s="1"/>
    </row>
    <row r="29" spans="1:5" x14ac:dyDescent="0.25">
      <c r="A29" s="1"/>
      <c r="B29" s="1"/>
      <c r="C29" s="1"/>
      <c r="D29" s="1"/>
      <c r="E29" s="1"/>
    </row>
    <row r="30" spans="1:5" x14ac:dyDescent="0.25">
      <c r="A30" s="1"/>
      <c r="B30" s="108" t="s">
        <v>210</v>
      </c>
      <c r="C30" s="109"/>
      <c r="D30" s="110"/>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rDUeLOeSWraRgljcNlR05W5s//8VKK+SAI/hCv7l25KFfnAWYu15YB1JRzq0LI0bb42nLOtdL9mxaegkj1x2tA==" saltValue="NWh06UM07fgrAy3671Lm8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6" t="s">
        <v>101</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x14ac:dyDescent="0.25">
      <c r="A8" s="1"/>
      <c r="B8" s="108" t="s">
        <v>120</v>
      </c>
      <c r="C8" s="109"/>
      <c r="D8" s="110"/>
      <c r="E8" s="1"/>
    </row>
    <row r="9" spans="1:5" ht="15" customHeight="1" x14ac:dyDescent="0.25">
      <c r="A9" s="1"/>
      <c r="B9" s="122" t="s">
        <v>102</v>
      </c>
      <c r="C9" s="123"/>
      <c r="D9" s="124"/>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5"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VvNkNFWxg71rWlqe0yJvhAyxNvkqYZlgnESY9GTIK+DPdl8UBbBmyQJGIdiv2oQpRsy5QEG7v8ulIMYZorsnAw==" saltValue="iLS4akOhSlAUTTWexdFkfg=="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170</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171</v>
      </c>
      <c r="C8" s="109"/>
      <c r="D8" s="110"/>
      <c r="E8" s="1"/>
    </row>
    <row r="9" spans="1:5" ht="26.25" x14ac:dyDescent="0.25">
      <c r="A9" s="1"/>
      <c r="B9" s="78" t="s">
        <v>214</v>
      </c>
      <c r="C9" s="7">
        <v>0</v>
      </c>
      <c r="D9" s="8" t="s">
        <v>3</v>
      </c>
      <c r="E9" s="1"/>
    </row>
    <row r="10" spans="1:5" ht="14.25" customHeight="1" x14ac:dyDescent="0.25">
      <c r="A10" s="1"/>
      <c r="B10" s="65" t="s">
        <v>172</v>
      </c>
      <c r="C10" s="7">
        <v>0</v>
      </c>
      <c r="D10" s="8" t="s">
        <v>3</v>
      </c>
      <c r="E10" s="1"/>
    </row>
    <row r="11" spans="1:5" ht="14.25" customHeight="1" x14ac:dyDescent="0.25">
      <c r="A11" s="1"/>
      <c r="B11" s="81" t="s">
        <v>48</v>
      </c>
      <c r="C11" s="10">
        <f>C10-C9</f>
        <v>0</v>
      </c>
      <c r="D11" s="11" t="s">
        <v>3</v>
      </c>
      <c r="E11" s="1"/>
    </row>
    <row r="12" spans="1:5" ht="14.25" customHeight="1" x14ac:dyDescent="0.25">
      <c r="A12" s="1"/>
      <c r="B12" s="108" t="s">
        <v>216</v>
      </c>
      <c r="C12" s="109"/>
      <c r="D12" s="110"/>
      <c r="E12" s="1"/>
    </row>
    <row r="13" spans="1:5" ht="26.25" x14ac:dyDescent="0.25">
      <c r="A13" s="1"/>
      <c r="B13" s="78" t="s">
        <v>215</v>
      </c>
      <c r="C13" s="7">
        <v>0</v>
      </c>
      <c r="D13" s="8" t="s">
        <v>3</v>
      </c>
      <c r="E13" s="1"/>
    </row>
    <row r="14" spans="1:5" ht="14.25" customHeight="1" x14ac:dyDescent="0.25">
      <c r="A14" s="1"/>
      <c r="B14" s="65" t="s">
        <v>173</v>
      </c>
      <c r="C14" s="7">
        <v>0</v>
      </c>
      <c r="D14" s="8" t="s">
        <v>3</v>
      </c>
      <c r="E14" s="1"/>
    </row>
    <row r="15" spans="1:5" ht="14.25" customHeight="1" x14ac:dyDescent="0.25">
      <c r="A15" s="1"/>
      <c r="B15" s="81"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BDfTnbBo9gHAEh4fWvtnHS+604k+D5W/7nR1hmGkUykf/tOpZvdfW6B9EJvCglxPWdQGNmVJZOclYXwq5dsIaQ==" saltValue="F5cirruDVRzl+JkIgkG2RA=="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113</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86</v>
      </c>
      <c r="C8" s="109"/>
      <c r="D8" s="109"/>
      <c r="E8" s="109"/>
      <c r="F8" s="109"/>
      <c r="G8" s="109"/>
      <c r="H8" s="109"/>
      <c r="I8" s="109"/>
      <c r="J8" s="109"/>
      <c r="K8" s="110"/>
      <c r="L8" s="1"/>
    </row>
    <row r="9" spans="1:12" ht="39.75" customHeight="1" x14ac:dyDescent="0.25">
      <c r="A9" s="1"/>
      <c r="B9" s="18" t="s">
        <v>0</v>
      </c>
      <c r="C9" s="18" t="s">
        <v>1</v>
      </c>
      <c r="D9" s="125" t="s">
        <v>96</v>
      </c>
      <c r="E9" s="126"/>
      <c r="F9" s="125" t="s">
        <v>2</v>
      </c>
      <c r="G9" s="126"/>
      <c r="H9" s="125" t="s">
        <v>95</v>
      </c>
      <c r="I9" s="126"/>
      <c r="J9" s="125" t="s">
        <v>26</v>
      </c>
      <c r="K9" s="126"/>
      <c r="L9" s="1"/>
    </row>
    <row r="10" spans="1:12" x14ac:dyDescent="0.25">
      <c r="A10" s="1"/>
      <c r="B10" s="68" t="s">
        <v>221</v>
      </c>
      <c r="C10" s="42">
        <v>0</v>
      </c>
      <c r="D10" s="9">
        <v>0</v>
      </c>
      <c r="E10" s="14" t="s">
        <v>3</v>
      </c>
      <c r="F10" s="9">
        <f>IFERROR(D10/C10,0)</f>
        <v>0</v>
      </c>
      <c r="G10" s="14" t="s">
        <v>3</v>
      </c>
      <c r="H10" s="38">
        <v>0</v>
      </c>
      <c r="I10" s="14" t="s">
        <v>3</v>
      </c>
      <c r="J10" s="38">
        <v>0</v>
      </c>
      <c r="K10" s="14" t="s">
        <v>3</v>
      </c>
      <c r="L10" s="1"/>
    </row>
    <row r="11" spans="1:12" x14ac:dyDescent="0.25">
      <c r="A11" s="1"/>
      <c r="B11" s="75" t="s">
        <v>218</v>
      </c>
      <c r="C11" s="76"/>
      <c r="D11" s="77"/>
      <c r="E11" s="77"/>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s20EBwU1vtJq4MOZFHVO1OgXfICUOaEAcw+iM/VEkyN/wKjxp9+UAJObS5PZjtZqopgAYeWRduPoM21sZwakqA==" saltValue="fWBgYSsib/ch4lz24n3gQ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114</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79" t="s">
        <v>17</v>
      </c>
      <c r="C9" s="81" t="s">
        <v>11</v>
      </c>
      <c r="D9" s="80"/>
      <c r="E9" s="81"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230</v>
      </c>
      <c r="C11" s="21">
        <v>0</v>
      </c>
      <c r="D11" s="14" t="s">
        <v>3</v>
      </c>
      <c r="E11" s="9">
        <v>340267.21</v>
      </c>
      <c r="F11" s="14" t="s">
        <v>3</v>
      </c>
      <c r="G11" s="1"/>
    </row>
    <row r="12" spans="1:7" x14ac:dyDescent="0.25">
      <c r="A12" s="1"/>
      <c r="B12" s="24" t="s">
        <v>231</v>
      </c>
      <c r="C12" s="21">
        <v>0</v>
      </c>
      <c r="D12" s="14" t="s">
        <v>3</v>
      </c>
      <c r="E12" s="9">
        <v>39224.019999999997</v>
      </c>
      <c r="F12" s="14" t="s">
        <v>3</v>
      </c>
      <c r="G12" s="1"/>
    </row>
    <row r="13" spans="1:7" x14ac:dyDescent="0.25">
      <c r="A13" s="1"/>
      <c r="B13" s="24" t="s">
        <v>232</v>
      </c>
      <c r="C13" s="21">
        <v>46873</v>
      </c>
      <c r="D13" s="14" t="s">
        <v>3</v>
      </c>
      <c r="E13" s="9">
        <v>0</v>
      </c>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46873</v>
      </c>
      <c r="D19" s="13" t="s">
        <v>3</v>
      </c>
      <c r="E19" s="12">
        <f>SUM(E10:E18)</f>
        <v>379491.23000000004</v>
      </c>
      <c r="F19" s="13" t="s">
        <v>3</v>
      </c>
      <c r="G19" s="1"/>
    </row>
    <row r="20" spans="1:7" x14ac:dyDescent="0.25">
      <c r="A20" s="1"/>
      <c r="B20" s="33" t="s">
        <v>175</v>
      </c>
      <c r="C20" s="12">
        <f>C19*(1+'Fane 15. Nøgletal'!C10)</f>
        <v>49980.679900000003</v>
      </c>
      <c r="D20" s="13" t="s">
        <v>3</v>
      </c>
      <c r="E20" s="12">
        <f>E19*(1+'Fane 15. Nøgletal'!C10)</f>
        <v>404651.49854900007</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7JYJTMLI/IKzbMrmTe8dNnbEaNEZdfFqkTz1oZsC5/yAHGzjLe6NQJgRE/YIJxYoT9PlOXRR75F/q5ipjL3r2w==" saltValue="WFU+eP/q6BxDodf8ZvBc9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115</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176</v>
      </c>
      <c r="C8" s="109"/>
      <c r="D8" s="109"/>
      <c r="E8" s="109"/>
      <c r="F8" s="110"/>
      <c r="G8" s="1"/>
    </row>
    <row r="9" spans="1:7" x14ac:dyDescent="0.25">
      <c r="A9" s="1"/>
      <c r="B9" s="79" t="s">
        <v>17</v>
      </c>
      <c r="C9" s="81" t="s">
        <v>11</v>
      </c>
      <c r="D9" s="80"/>
      <c r="E9" s="81" t="s">
        <v>27</v>
      </c>
      <c r="F9" s="32"/>
      <c r="G9" s="1"/>
    </row>
    <row r="10" spans="1:7" x14ac:dyDescent="0.25">
      <c r="A10" s="1"/>
      <c r="B10" s="24" t="s">
        <v>230</v>
      </c>
      <c r="C10" s="21">
        <v>0</v>
      </c>
      <c r="D10" s="14" t="s">
        <v>3</v>
      </c>
      <c r="E10" s="9">
        <v>270864.84999999998</v>
      </c>
      <c r="F10" s="14" t="s">
        <v>3</v>
      </c>
      <c r="G10" s="1"/>
    </row>
    <row r="11" spans="1:7" x14ac:dyDescent="0.25">
      <c r="A11" s="1"/>
      <c r="B11" s="24" t="s">
        <v>233</v>
      </c>
      <c r="C11" s="21">
        <v>99731.1</v>
      </c>
      <c r="D11" s="14" t="s">
        <v>3</v>
      </c>
      <c r="E11" s="9">
        <v>0</v>
      </c>
      <c r="F11" s="14" t="s">
        <v>3</v>
      </c>
      <c r="G11" s="1"/>
    </row>
    <row r="12" spans="1:7" x14ac:dyDescent="0.25">
      <c r="A12" s="1"/>
      <c r="B12" s="24" t="s">
        <v>231</v>
      </c>
      <c r="C12" s="21">
        <v>0</v>
      </c>
      <c r="D12" s="14" t="s">
        <v>3</v>
      </c>
      <c r="E12" s="9">
        <v>31100</v>
      </c>
      <c r="F12" s="14" t="s">
        <v>3</v>
      </c>
      <c r="G12" s="1"/>
    </row>
    <row r="13" spans="1:7" x14ac:dyDescent="0.25">
      <c r="A13" s="1"/>
      <c r="B13" s="33" t="s">
        <v>234</v>
      </c>
      <c r="C13" s="12">
        <f>SUM(C10:C12)</f>
        <v>99731.1</v>
      </c>
      <c r="D13" s="13" t="s">
        <v>3</v>
      </c>
      <c r="E13" s="12">
        <f>SUM(E10:E12)</f>
        <v>301964.84999999998</v>
      </c>
      <c r="F13" s="13" t="s">
        <v>3</v>
      </c>
      <c r="G13" s="1"/>
    </row>
    <row r="14" spans="1:7" x14ac:dyDescent="0.25">
      <c r="A14" s="1"/>
      <c r="B14" s="33" t="s">
        <v>177</v>
      </c>
      <c r="C14" s="12">
        <f>C13*(1+'Fane 15. Nøgletal'!C10)^2</f>
        <v>113393.830858959</v>
      </c>
      <c r="D14" s="13" t="s">
        <v>3</v>
      </c>
      <c r="E14" s="12">
        <f>E13*(1+'Fane 15. Nøgletal'!C10)^2</f>
        <v>343332.73298149649</v>
      </c>
      <c r="F14" s="13" t="s">
        <v>3</v>
      </c>
      <c r="G14" s="1"/>
    </row>
    <row r="15" spans="1:7" x14ac:dyDescent="0.25">
      <c r="A15" s="1"/>
      <c r="B15" s="1"/>
      <c r="C15" s="1"/>
      <c r="D15" s="1"/>
      <c r="E15" s="1"/>
      <c r="F15" s="1"/>
      <c r="G15" s="1"/>
    </row>
    <row r="16" spans="1:7" x14ac:dyDescent="0.25">
      <c r="A16" s="1"/>
      <c r="B16" s="127"/>
      <c r="C16" s="127"/>
      <c r="D16" s="127"/>
      <c r="E16" s="127"/>
      <c r="F16" s="127"/>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7"/>
      <c r="C29" s="127"/>
      <c r="D29" s="127"/>
      <c r="E29" s="127"/>
      <c r="F29" s="127"/>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9DRKxpMPqCHeBZCDF7NppsbO2OIPWltIFvhPA3688VOeCqP+8q8zlot2Ptt1XlcxNdemWvadPh1v+Eq3CzI9g==" saltValue="tG8hgAlaFvmK/qR4iidX9Q=="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116</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8" t="s">
        <v>178</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5" t="s">
        <v>74</v>
      </c>
      <c r="C12" s="12">
        <f>SUM(C9:C11)*(1+'Fane 15. Nøgletal'!C9)^2</f>
        <v>0</v>
      </c>
      <c r="D12" s="13"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8" t="s">
        <v>178</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5" t="s">
        <v>85</v>
      </c>
      <c r="C18" s="12">
        <f>SUM(C15:C17)*(1+'Fane 15. Nøgletal'!C10)^3</f>
        <v>0</v>
      </c>
      <c r="D18" s="13" t="s">
        <v>3</v>
      </c>
      <c r="E18" s="1"/>
    </row>
    <row r="19" spans="1:5" x14ac:dyDescent="0.25">
      <c r="A19" s="1"/>
      <c r="B19" s="1"/>
      <c r="C19" s="1"/>
      <c r="D19" s="1"/>
      <c r="E19" s="1"/>
    </row>
    <row r="20" spans="1:5" ht="15" customHeight="1" x14ac:dyDescent="0.25">
      <c r="A20" s="1"/>
      <c r="B20" s="108" t="s">
        <v>140</v>
      </c>
      <c r="C20" s="109"/>
      <c r="D20" s="110"/>
      <c r="E20" s="1"/>
    </row>
    <row r="21" spans="1:5" x14ac:dyDescent="0.25">
      <c r="A21" s="1"/>
      <c r="B21" s="68" t="s">
        <v>178</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5" t="s">
        <v>141</v>
      </c>
      <c r="C24" s="12">
        <f>SUM(C21:C23)*(1+'Fane 15. Nøgletal'!C10)^4</f>
        <v>0</v>
      </c>
      <c r="D24" s="13" t="s">
        <v>3</v>
      </c>
      <c r="E24" s="1"/>
    </row>
    <row r="25" spans="1:5" x14ac:dyDescent="0.25">
      <c r="A25" s="1"/>
      <c r="B25" s="1"/>
      <c r="C25" s="1"/>
      <c r="D25" s="1"/>
      <c r="E25" s="1"/>
    </row>
    <row r="26" spans="1:5" ht="15" customHeight="1" x14ac:dyDescent="0.25">
      <c r="A26" s="1"/>
      <c r="B26" s="108" t="s">
        <v>179</v>
      </c>
      <c r="C26" s="109"/>
      <c r="D26" s="110"/>
      <c r="E26" s="1"/>
    </row>
    <row r="27" spans="1:5" ht="14.25" customHeight="1" x14ac:dyDescent="0.25">
      <c r="A27" s="1"/>
      <c r="B27" s="68" t="s">
        <v>178</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5" t="s">
        <v>180</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3/Vc0EOngRSouNa7C+j7rP6dt66CBTd+8XNpA1Wx0HcpA7Usco75ntdsipTt9Az+x29BF1TMa57oHATNORGIZg==" saltValue="T4QUQbmyUmsLaCchGkiO6A=="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117</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1" t="s">
        <v>67</v>
      </c>
      <c r="C9" s="27" t="s">
        <v>11</v>
      </c>
      <c r="D9" s="32"/>
      <c r="E9" s="27" t="s">
        <v>27</v>
      </c>
      <c r="F9" s="32"/>
      <c r="G9" s="1"/>
    </row>
    <row r="10" spans="1:7" ht="26.25" x14ac:dyDescent="0.25">
      <c r="A10" s="1"/>
      <c r="B10" s="70" t="s">
        <v>219</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181</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cKidcTtx2BVA6SuUQrXJ6mHIsm+8bR6SNE2KAvk02G/he2aTGT27ZHlYeHsMYGdYCGZ8Qy9Mbb+jKSnOBvyKpg==" saltValue="01If6AKfCgP0lFIkx/Fnv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118</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182</v>
      </c>
      <c r="C8" s="109"/>
      <c r="D8" s="109"/>
      <c r="E8" s="109"/>
      <c r="F8" s="110"/>
      <c r="G8" s="1"/>
    </row>
    <row r="9" spans="1:7" x14ac:dyDescent="0.25">
      <c r="A9" s="1"/>
      <c r="B9" s="31" t="s">
        <v>18</v>
      </c>
      <c r="C9" s="128" t="s">
        <v>11</v>
      </c>
      <c r="D9" s="129"/>
      <c r="E9" s="128" t="s">
        <v>27</v>
      </c>
      <c r="F9" s="129"/>
      <c r="G9" s="1"/>
    </row>
    <row r="10" spans="1:7" x14ac:dyDescent="0.25">
      <c r="A10" s="1"/>
      <c r="B10" s="70" t="s">
        <v>220</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213</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7"/>
      <c r="C21" s="127"/>
      <c r="D21" s="127"/>
      <c r="E21" s="127"/>
      <c r="F21" s="127"/>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7"/>
      <c r="C27" s="127"/>
      <c r="D27" s="127"/>
      <c r="E27" s="127"/>
      <c r="F27" s="127"/>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bSQhNgOJhnvwQtvLuQlLu+hXllFxugTwbAxA1uXRKJwoAt39WhkTJGFlANhuO+lN9mtAbDwGLpKryUNqGje2bw==" saltValue="eGhB/JO2HKm6DGf4ilCfkg=="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71274122.650091484</v>
      </c>
      <c r="D9" s="8" t="s">
        <v>3</v>
      </c>
      <c r="E9" s="1"/>
    </row>
    <row r="10" spans="1:5" ht="17.25" customHeight="1" x14ac:dyDescent="0.25">
      <c r="A10" s="1"/>
      <c r="B10" s="64" t="s">
        <v>35</v>
      </c>
      <c r="C10" s="7">
        <f>'Fane 11.1. Varige tillæg'!C20</f>
        <v>49980.679900000003</v>
      </c>
      <c r="D10" s="8" t="s">
        <v>3</v>
      </c>
      <c r="E10" s="1"/>
    </row>
    <row r="11" spans="1:5" ht="17.25" customHeight="1" x14ac:dyDescent="0.25">
      <c r="A11" s="1"/>
      <c r="B11" s="64" t="s">
        <v>36</v>
      </c>
      <c r="C11" s="9">
        <f>'Fane 11.1. Varige tillæg'!E20</f>
        <v>404651.49854900007</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5789091.22355856</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-248578.26463319937</v>
      </c>
      <c r="D18" s="8" t="s">
        <v>3</v>
      </c>
      <c r="E18" s="1"/>
    </row>
    <row r="19" spans="1:5" ht="17.25" customHeight="1" x14ac:dyDescent="0.25">
      <c r="A19" s="1"/>
      <c r="B19" s="64" t="s">
        <v>23</v>
      </c>
      <c r="C19" s="38">
        <f>-'Fane 4.2. Gen. krav - anlæg'!C17</f>
        <v>0</v>
      </c>
      <c r="D19" s="8" t="s">
        <v>3</v>
      </c>
      <c r="E19" s="43"/>
    </row>
    <row r="20" spans="1:5" ht="17.25" customHeight="1" x14ac:dyDescent="0.25">
      <c r="A20" s="1"/>
      <c r="B20" s="81" t="s">
        <v>21</v>
      </c>
      <c r="C20" s="10">
        <f>SUM(C9:C19)</f>
        <v>77269267.787465855</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658940.00798165344</v>
      </c>
      <c r="D22" s="11" t="s">
        <v>3</v>
      </c>
      <c r="E22" s="1"/>
    </row>
    <row r="23" spans="1:5" ht="15" customHeight="1" x14ac:dyDescent="0.25">
      <c r="A23" s="1"/>
      <c r="B23" s="33" t="s">
        <v>42</v>
      </c>
      <c r="C23" s="28"/>
      <c r="D23" s="19"/>
      <c r="E23" s="1"/>
    </row>
    <row r="24" spans="1:5" ht="15" customHeight="1" x14ac:dyDescent="0.25">
      <c r="A24" s="1"/>
      <c r="B24" s="81"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113393.830858959</v>
      </c>
      <c r="D26" s="8" t="s">
        <v>3</v>
      </c>
      <c r="E26" s="1"/>
    </row>
    <row r="27" spans="1:5" ht="15" customHeight="1" x14ac:dyDescent="0.25">
      <c r="A27" s="1"/>
      <c r="B27" s="64" t="s">
        <v>38</v>
      </c>
      <c r="C27" s="38">
        <f>'Fane 11.2. Engangstillæg'!E14</f>
        <v>343332.73298149649</v>
      </c>
      <c r="D27" s="8" t="s">
        <v>3</v>
      </c>
      <c r="E27" s="1"/>
    </row>
    <row r="28" spans="1:5" ht="15" customHeight="1" x14ac:dyDescent="0.25">
      <c r="A28" s="1"/>
      <c r="B28" s="64" t="s">
        <v>92</v>
      </c>
      <c r="C28" s="38">
        <f>-C26*('Fane 15. Nøgletal'!C21+'Fane 5. Individuelt eff. krav'!C9)</f>
        <v>-2267.8766171791799</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454458.6872232763</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78382666.482670784</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NFe4SwtwQYYY15m5wfhtiuJ1UecTFkIUPSj/e0TXGMc5NBEddLuOuJn6HbR4k40BzK+xjW7aL22u6qQbCMeV5g==" saltValue="bXlkcPYkFSXYui2sZhNKL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119</v>
      </c>
      <c r="C3" s="106"/>
      <c r="D3" s="1"/>
    </row>
    <row r="4" spans="1:4" ht="15" customHeight="1" x14ac:dyDescent="0.25">
      <c r="A4" s="1"/>
      <c r="B4" s="106"/>
      <c r="C4" s="106"/>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223</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212</v>
      </c>
      <c r="C15" s="60">
        <v>0</v>
      </c>
      <c r="D15" s="1"/>
    </row>
    <row r="16" spans="1:4" x14ac:dyDescent="0.25">
      <c r="A16" s="1"/>
      <c r="B16" s="59" t="s">
        <v>224</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XdNJ1wNVrWZ+k8aYtuAJOsiLxMNE1LPMNGjXgrWQONAkonT7Kng2ZGi61gfQsAsv5F4yrDhye5kDUeqv7hPb3A==" saltValue="VTJj25CJN8VS9RZF5dzJl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77269267.787465855</v>
      </c>
      <c r="D9" s="8" t="s">
        <v>3</v>
      </c>
      <c r="E9" s="1"/>
    </row>
    <row r="10" spans="1:5" ht="15" customHeight="1" x14ac:dyDescent="0.25">
      <c r="A10" s="1"/>
      <c r="B10" s="26" t="s">
        <v>19</v>
      </c>
      <c r="C10" s="7">
        <f>C9*'Fane 15. Nøgletal'!C10</f>
        <v>5122952.4543089857</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-259757.82350681286</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82132462.418268025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702627.73051083705</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82835090.148778856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LNu5ooqGDTVQkP2oB0aPeHlnFQh0L0ZYK5BGaUhbCjDl4ICLDCPqKHUr8Q0jZfg8ZVtZk3VkTQP9r/lKhnFJkw==" saltValue="ubWqfN4cnCMJ5jjTEmB68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157</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82132462.418268025</v>
      </c>
      <c r="D9" s="8" t="s">
        <v>3</v>
      </c>
      <c r="E9" s="1"/>
    </row>
    <row r="10" spans="1:5" ht="15" customHeight="1" x14ac:dyDescent="0.25">
      <c r="A10" s="1"/>
      <c r="B10" s="26" t="s">
        <v>19</v>
      </c>
      <c r="C10" s="7">
        <f>SUM(C9:C9)*'Fane 15. Nøgletal'!C10</f>
        <v>5445382.2583311703</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-271440.17186120828</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87306404.504737988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749211.94904370559</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88055616.453781694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9zR5crGF7yp009icE8BdN8M6FWQ+fpSggY4lyHTGRlL+GdxhoD9cTkw3xX3UXbhZ5C/tl99rU9YTftpfda9NFg==" saltValue="snlxIxXtG6dbYta6TcFJe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158</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87306404.504737988</v>
      </c>
      <c r="D9" s="8" t="s">
        <v>3</v>
      </c>
      <c r="E9" s="1"/>
    </row>
    <row r="10" spans="1:5" ht="15" customHeight="1" x14ac:dyDescent="0.25">
      <c r="A10" s="1"/>
      <c r="B10" s="26" t="s">
        <v>19</v>
      </c>
      <c r="C10" s="7">
        <f>SUM(C9:C9)*'Fane 15. Nøgletal'!C10</f>
        <v>5788414.6186641287</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-283647.92215049424</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92811171.201251626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798884.7012653033</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93610055.902516931</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GhhvPv9qPYZyMS0YBhTXZAWq+5UsTRDZIxVqXv3xP/89rb/c9d3TrQjQyjZxzENFYkK+SUE+OHMo2NC6BqwVw==" saltValue="wuqfxKD+WhfHOvVdsjMx5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6" t="s">
        <v>161</v>
      </c>
      <c r="C3" s="106"/>
      <c r="D3" s="106"/>
      <c r="E3" s="1"/>
    </row>
    <row r="4" spans="1:5" ht="15" customHeight="1" x14ac:dyDescent="0.25">
      <c r="A4" s="1"/>
      <c r="B4" s="106"/>
      <c r="C4" s="106"/>
      <c r="D4" s="106"/>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65696231.824212827</v>
      </c>
      <c r="D9" s="8" t="s">
        <v>3</v>
      </c>
      <c r="E9" s="1"/>
    </row>
    <row r="10" spans="1:5" ht="15" customHeight="1" x14ac:dyDescent="0.25">
      <c r="A10" s="1"/>
      <c r="B10" s="64" t="s">
        <v>35</v>
      </c>
      <c r="C10" s="7">
        <v>71318.749599999996</v>
      </c>
      <c r="D10" s="8" t="s">
        <v>3</v>
      </c>
      <c r="E10" s="1"/>
    </row>
    <row r="11" spans="1:5" ht="15" customHeight="1" x14ac:dyDescent="0.25">
      <c r="A11" s="1"/>
      <c r="B11" s="64" t="s">
        <v>36</v>
      </c>
      <c r="C11" s="9">
        <v>394370.95039999997</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5345883.2591563966</v>
      </c>
      <c r="D16" s="8" t="s">
        <v>3</v>
      </c>
      <c r="E16" s="1"/>
    </row>
    <row r="17" spans="1:5" ht="15" customHeight="1" x14ac:dyDescent="0.25">
      <c r="A17" s="1"/>
      <c r="B17" s="64" t="s">
        <v>10</v>
      </c>
      <c r="C17" s="38">
        <v>0</v>
      </c>
      <c r="D17" s="8" t="s">
        <v>3</v>
      </c>
      <c r="E17" s="1"/>
    </row>
    <row r="18" spans="1:5" ht="15" customHeight="1" x14ac:dyDescent="0.25">
      <c r="A18" s="1"/>
      <c r="B18" s="64" t="s">
        <v>22</v>
      </c>
      <c r="C18" s="38">
        <v>-233682.13327774216</v>
      </c>
      <c r="D18" s="8" t="s">
        <v>3</v>
      </c>
      <c r="E18" s="1"/>
    </row>
    <row r="19" spans="1:5" ht="15" customHeight="1" x14ac:dyDescent="0.25">
      <c r="A19" s="1"/>
      <c r="B19" s="64" t="s">
        <v>23</v>
      </c>
      <c r="C19" s="38">
        <v>0</v>
      </c>
      <c r="D19" s="8" t="s">
        <v>3</v>
      </c>
      <c r="E19" s="43"/>
    </row>
    <row r="20" spans="1:5" ht="15" customHeight="1" x14ac:dyDescent="0.25">
      <c r="A20" s="1"/>
      <c r="B20" s="81" t="s">
        <v>21</v>
      </c>
      <c r="C20" s="10">
        <v>71274122.650091484</v>
      </c>
      <c r="D20" s="11" t="s">
        <v>3</v>
      </c>
      <c r="E20" s="1"/>
    </row>
    <row r="21" spans="1:5" ht="15" customHeight="1" x14ac:dyDescent="0.25">
      <c r="A21" s="1"/>
      <c r="B21" s="33" t="s">
        <v>12</v>
      </c>
      <c r="C21" s="28"/>
      <c r="D21" s="19"/>
      <c r="E21" s="1"/>
    </row>
    <row r="22" spans="1:5" ht="15" customHeight="1" x14ac:dyDescent="0.25">
      <c r="A22" s="1"/>
      <c r="B22" s="31" t="s">
        <v>12</v>
      </c>
      <c r="C22" s="10">
        <v>449721.34949951997</v>
      </c>
      <c r="D22" s="11" t="s">
        <v>3</v>
      </c>
      <c r="E22" s="1"/>
    </row>
    <row r="23" spans="1:5" ht="15" customHeight="1" x14ac:dyDescent="0.25">
      <c r="A23" s="1"/>
      <c r="B23" s="33" t="s">
        <v>42</v>
      </c>
      <c r="C23" s="28"/>
      <c r="D23" s="19"/>
      <c r="E23" s="1"/>
    </row>
    <row r="24" spans="1:5" ht="15" customHeight="1" x14ac:dyDescent="0.25">
      <c r="A24" s="1"/>
      <c r="B24" s="81" t="s">
        <v>42</v>
      </c>
      <c r="C24" s="10">
        <v>0</v>
      </c>
      <c r="D24" s="11" t="s">
        <v>3</v>
      </c>
      <c r="E24" s="1"/>
    </row>
    <row r="25" spans="1:5" x14ac:dyDescent="0.25">
      <c r="A25" s="1"/>
      <c r="B25" s="41" t="s">
        <v>41</v>
      </c>
      <c r="C25" s="39"/>
      <c r="D25" s="40"/>
      <c r="E25" s="1"/>
    </row>
    <row r="26" spans="1:5" ht="15" customHeight="1" x14ac:dyDescent="0.25">
      <c r="A26" s="1"/>
      <c r="B26" s="64" t="s">
        <v>89</v>
      </c>
      <c r="C26" s="38">
        <v>302984.53412863996</v>
      </c>
      <c r="D26" s="8" t="s">
        <v>3</v>
      </c>
      <c r="E26" s="1"/>
    </row>
    <row r="27" spans="1:5" ht="15" customHeight="1" x14ac:dyDescent="0.25">
      <c r="A27" s="1"/>
      <c r="B27" s="64" t="s">
        <v>38</v>
      </c>
      <c r="C27" s="38">
        <v>81769.004799999995</v>
      </c>
      <c r="D27" s="8" t="s">
        <v>3</v>
      </c>
      <c r="E27" s="1"/>
    </row>
    <row r="28" spans="1:5" ht="15" customHeight="1" x14ac:dyDescent="0.25">
      <c r="A28" s="1"/>
      <c r="B28" s="64" t="s">
        <v>92</v>
      </c>
      <c r="C28" s="38">
        <v>-6059.6906825727992</v>
      </c>
      <c r="D28" s="8" t="s">
        <v>3</v>
      </c>
      <c r="E28" s="1"/>
    </row>
    <row r="29" spans="1:5" ht="15" customHeight="1" x14ac:dyDescent="0.25">
      <c r="A29" s="1"/>
      <c r="B29" s="64" t="s">
        <v>93</v>
      </c>
      <c r="C29" s="38">
        <v>0</v>
      </c>
      <c r="D29" s="8" t="s">
        <v>3</v>
      </c>
      <c r="E29" s="1"/>
    </row>
    <row r="30" spans="1:5" ht="15" customHeight="1" x14ac:dyDescent="0.25">
      <c r="A30" s="1"/>
      <c r="B30" s="67" t="s">
        <v>43</v>
      </c>
      <c r="C30" s="10">
        <v>378693.84824606718</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72102537.847837076</v>
      </c>
      <c r="D37" s="30" t="s">
        <v>3</v>
      </c>
      <c r="E37" s="1"/>
    </row>
    <row r="38" spans="1:5" ht="30" customHeight="1" x14ac:dyDescent="0.25">
      <c r="A38" s="1"/>
      <c r="B38" s="107" t="s">
        <v>222</v>
      </c>
      <c r="C38" s="107"/>
      <c r="D38" s="107"/>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9HqeAi17/+7Cu918tynxq5rcalh3quE8iqZI1K94ng0uIoQYJGXZIROs4svAiiMVJVQ+8cZ8BiufTiW/Bi9Xeg==" saltValue="rCnu2xajClFcNSEqMy5VzA=="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6" t="s">
        <v>56</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4"/>
      <c r="C6" s="74"/>
      <c r="D6" s="74"/>
      <c r="E6" s="1"/>
    </row>
    <row r="7" spans="1:5" x14ac:dyDescent="0.25">
      <c r="A7" s="1"/>
      <c r="B7" s="1"/>
      <c r="C7" s="1"/>
      <c r="D7" s="1"/>
      <c r="E7" s="1"/>
    </row>
    <row r="8" spans="1:5" x14ac:dyDescent="0.25">
      <c r="A8" s="1"/>
      <c r="B8" s="108" t="s">
        <v>123</v>
      </c>
      <c r="C8" s="109"/>
      <c r="D8" s="110"/>
      <c r="E8" s="1"/>
    </row>
    <row r="9" spans="1:5" x14ac:dyDescent="0.25">
      <c r="A9" s="1"/>
      <c r="B9" s="65" t="s">
        <v>88</v>
      </c>
      <c r="C9" s="23">
        <v>11607025.359319424</v>
      </c>
      <c r="D9" s="14" t="s">
        <v>3</v>
      </c>
      <c r="E9" s="1"/>
    </row>
    <row r="10" spans="1:5" x14ac:dyDescent="0.25">
      <c r="A10" s="1"/>
      <c r="B10" s="65" t="s">
        <v>125</v>
      </c>
      <c r="C10" s="23">
        <f>('Fane 3. Omkostninger i ØR2024'!C10+'Fane 3. Omkostninger i ØR2024'!C12+'Fane 3. Omkostninger i ØR2024'!C14)*(1+'Fane 15. Nøgletal'!C9)</f>
        <v>77081.304567679996</v>
      </c>
      <c r="D10" s="14" t="s">
        <v>3</v>
      </c>
      <c r="E10" s="1"/>
    </row>
    <row r="11" spans="1:5" x14ac:dyDescent="0.25">
      <c r="A11" s="1"/>
      <c r="B11" s="65" t="s">
        <v>131</v>
      </c>
      <c r="C11" s="23">
        <f>C9*'Fane 15. Nøgletal'!C21+C10*'Fane 15. Nøgletal'!C21</f>
        <v>233682.13327774208</v>
      </c>
      <c r="D11" s="14" t="s">
        <v>3</v>
      </c>
      <c r="E11" s="1"/>
    </row>
    <row r="12" spans="1:5" x14ac:dyDescent="0.25">
      <c r="A12" s="1"/>
      <c r="B12" s="33"/>
      <c r="C12" s="28"/>
      <c r="D12" s="19"/>
      <c r="E12" s="1"/>
    </row>
    <row r="13" spans="1:5" x14ac:dyDescent="0.25">
      <c r="A13" s="1"/>
      <c r="B13" s="1"/>
      <c r="C13" s="1"/>
      <c r="D13" s="1"/>
      <c r="E13" s="1"/>
    </row>
    <row r="14" spans="1:5" x14ac:dyDescent="0.25">
      <c r="A14" s="1"/>
      <c r="B14" s="108" t="s">
        <v>124</v>
      </c>
      <c r="C14" s="109"/>
      <c r="D14" s="110"/>
      <c r="E14" s="1"/>
    </row>
    <row r="15" spans="1:5" x14ac:dyDescent="0.25">
      <c r="A15" s="1"/>
      <c r="B15" s="65" t="s">
        <v>133</v>
      </c>
      <c r="C15" s="23">
        <f>(C9+C10-C11)*(1+'Fane 15. Nøgletal'!C9)</f>
        <v>12375618.832682598</v>
      </c>
      <c r="D15" s="14" t="s">
        <v>3</v>
      </c>
      <c r="E15" s="1"/>
    </row>
    <row r="16" spans="1:5" x14ac:dyDescent="0.25">
      <c r="A16" s="1"/>
      <c r="B16" s="65" t="s">
        <v>183</v>
      </c>
      <c r="C16" s="23">
        <f>('Fane 2.1. Økonomisk ramme 2025'!C10+'Fane 2.1. Økonomisk ramme 2025'!C12+'Fane 2.1. Økonomisk ramme 2025'!C14)*(1+'Fane 15. Nøgletal'!C10)</f>
        <v>53294.398977370001</v>
      </c>
      <c r="D16" s="14" t="s">
        <v>3</v>
      </c>
      <c r="E16" s="1"/>
    </row>
    <row r="17" spans="1:5" x14ac:dyDescent="0.25">
      <c r="A17" s="1"/>
      <c r="B17" s="65" t="s">
        <v>132</v>
      </c>
      <c r="C17" s="23">
        <f>C15*'Fane 15. Nøgletal'!C21+C16*'Fane 15. Nøgletal'!C21</f>
        <v>248578.26463319937</v>
      </c>
      <c r="D17" s="14" t="s">
        <v>3</v>
      </c>
      <c r="E17" s="1"/>
    </row>
    <row r="18" spans="1:5" x14ac:dyDescent="0.25">
      <c r="A18" s="1"/>
      <c r="B18" s="33"/>
      <c r="C18" s="28"/>
      <c r="D18" s="19"/>
      <c r="E18" s="1"/>
    </row>
    <row r="19" spans="1:5" x14ac:dyDescent="0.25">
      <c r="A19" s="1"/>
      <c r="B19" s="1"/>
      <c r="C19" s="63"/>
      <c r="D19" s="1"/>
      <c r="E19" s="1"/>
    </row>
    <row r="20" spans="1:5" x14ac:dyDescent="0.25">
      <c r="A20" s="1"/>
      <c r="B20" s="108" t="s">
        <v>145</v>
      </c>
      <c r="C20" s="109"/>
      <c r="D20" s="110"/>
      <c r="E20" s="1"/>
    </row>
    <row r="21" spans="1:5" x14ac:dyDescent="0.25">
      <c r="A21" s="1"/>
      <c r="B21" s="65" t="s">
        <v>188</v>
      </c>
      <c r="C21" s="23">
        <f>(C15+C16-C17)*(1+'Fane 15. Nøgletal'!C10)</f>
        <v>12987891.175340643</v>
      </c>
      <c r="D21" s="14" t="s">
        <v>3</v>
      </c>
      <c r="E21" s="1"/>
    </row>
    <row r="22" spans="1:5" x14ac:dyDescent="0.25">
      <c r="A22" s="1"/>
      <c r="B22" s="65" t="s">
        <v>195</v>
      </c>
      <c r="C22" s="23">
        <f>C21*'Fane 15. Nøgletal'!C21</f>
        <v>259757.82350681286</v>
      </c>
      <c r="D22" s="14" t="s">
        <v>3</v>
      </c>
      <c r="E22" s="1"/>
    </row>
    <row r="23" spans="1:5" x14ac:dyDescent="0.25">
      <c r="A23" s="1"/>
      <c r="B23" s="33"/>
      <c r="C23" s="28"/>
      <c r="D23" s="19"/>
      <c r="E23" s="1"/>
    </row>
    <row r="24" spans="1:5" x14ac:dyDescent="0.25">
      <c r="A24" s="1"/>
      <c r="B24" s="1"/>
      <c r="C24" s="1"/>
      <c r="D24" s="1"/>
      <c r="E24" s="1"/>
    </row>
    <row r="25" spans="1:5" x14ac:dyDescent="0.25">
      <c r="A25" s="1"/>
      <c r="B25" s="108" t="s">
        <v>186</v>
      </c>
      <c r="C25" s="109"/>
      <c r="D25" s="110"/>
      <c r="E25" s="1"/>
    </row>
    <row r="26" spans="1:5" x14ac:dyDescent="0.25">
      <c r="A26" s="1"/>
      <c r="B26" s="65" t="s">
        <v>189</v>
      </c>
      <c r="C26" s="23">
        <f>(C21-C22)*(1+'Fane 15. Nøgletal'!C10)</f>
        <v>13572008.593060413</v>
      </c>
      <c r="D26" s="14" t="s">
        <v>3</v>
      </c>
      <c r="E26" s="1"/>
    </row>
    <row r="27" spans="1:5" x14ac:dyDescent="0.25">
      <c r="A27" s="1"/>
      <c r="B27" s="65" t="s">
        <v>193</v>
      </c>
      <c r="C27" s="23">
        <f>C26*'Fane 15. Nøgletal'!C21</f>
        <v>271440.17186120828</v>
      </c>
      <c r="D27" s="14" t="s">
        <v>3</v>
      </c>
      <c r="E27" s="1"/>
    </row>
    <row r="28" spans="1:5" x14ac:dyDescent="0.25">
      <c r="A28" s="1"/>
      <c r="B28" s="33"/>
      <c r="C28" s="28"/>
      <c r="D28" s="19"/>
      <c r="E28" s="1"/>
    </row>
    <row r="29" spans="1:5" x14ac:dyDescent="0.25">
      <c r="A29" s="1"/>
      <c r="B29" s="1"/>
      <c r="C29" s="1"/>
      <c r="D29" s="1"/>
      <c r="E29" s="1"/>
    </row>
    <row r="30" spans="1:5" x14ac:dyDescent="0.25">
      <c r="A30" s="1"/>
      <c r="B30" s="108" t="s">
        <v>187</v>
      </c>
      <c r="C30" s="109"/>
      <c r="D30" s="110"/>
      <c r="E30" s="1"/>
    </row>
    <row r="31" spans="1:5" x14ac:dyDescent="0.25">
      <c r="A31" s="1"/>
      <c r="B31" s="65" t="s">
        <v>190</v>
      </c>
      <c r="C31" s="23">
        <f>(C26-C27)*(1+'Fane 15. Nøgletal'!C10)</f>
        <v>14182396.107524712</v>
      </c>
      <c r="D31" s="14" t="s">
        <v>3</v>
      </c>
      <c r="E31" s="1"/>
    </row>
    <row r="32" spans="1:5" x14ac:dyDescent="0.25">
      <c r="A32" s="1"/>
      <c r="B32" s="65" t="s">
        <v>194</v>
      </c>
      <c r="C32" s="23">
        <f>C31*'Fane 15. Nøgletal'!C21</f>
        <v>283647.92215049424</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kMfogctnK+/DJuHgyMSy1GiiJVuJ8bWF8nKHx0YW8gA014AxmgituBEos5lLLiC9NiCV7iBnEJHe2ouVGQv1QQ==" saltValue="PyEg7oMUDtTPD9/b60wcAg=="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9"/>
      <c r="C6" s="69"/>
      <c r="D6" s="69"/>
      <c r="E6" s="1"/>
    </row>
    <row r="7" spans="1:5" x14ac:dyDescent="0.25">
      <c r="A7" s="1"/>
      <c r="B7" s="1"/>
      <c r="C7" s="1"/>
      <c r="D7" s="1"/>
      <c r="E7" s="1"/>
    </row>
    <row r="8" spans="1:5" x14ac:dyDescent="0.25">
      <c r="A8" s="1"/>
      <c r="B8" s="108" t="s">
        <v>147</v>
      </c>
      <c r="C8" s="109"/>
      <c r="D8" s="110"/>
      <c r="E8" s="1"/>
    </row>
    <row r="9" spans="1:5" x14ac:dyDescent="0.25">
      <c r="A9" s="1"/>
      <c r="B9" s="65" t="s">
        <v>134</v>
      </c>
      <c r="C9" s="23">
        <v>62031028.741287537</v>
      </c>
      <c r="D9" s="14" t="s">
        <v>3</v>
      </c>
      <c r="E9" s="1"/>
    </row>
    <row r="10" spans="1:5" x14ac:dyDescent="0.25">
      <c r="A10" s="1"/>
      <c r="B10" s="65" t="s">
        <v>126</v>
      </c>
      <c r="C10" s="23">
        <f>('Fane 3. Omkostninger i ØR2024'!C11+'Fane 3. Omkostninger i ØR2024'!C13+'Fane 3. Omkostninger i ØR2024'!C15)*(1+'Fane 15. Nøgletal'!C9)</f>
        <v>426236.12319231994</v>
      </c>
      <c r="D10" s="14" t="s">
        <v>3</v>
      </c>
      <c r="E10" s="1"/>
    </row>
    <row r="11" spans="1:5" x14ac:dyDescent="0.25">
      <c r="A11" s="1"/>
      <c r="B11" s="65" t="s">
        <v>135</v>
      </c>
      <c r="C11" s="82">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8" t="s">
        <v>146</v>
      </c>
      <c r="C14" s="109"/>
      <c r="D14" s="110"/>
      <c r="E14" s="1"/>
    </row>
    <row r="15" spans="1:5" x14ac:dyDescent="0.25">
      <c r="A15" s="1"/>
      <c r="B15" s="65" t="s">
        <v>136</v>
      </c>
      <c r="C15" s="23">
        <f>(C9+C10-C11)*(1+'Fane 15. Nøgletal'!C9)</f>
        <v>67503811.86552982</v>
      </c>
      <c r="D15" s="14" t="s">
        <v>3</v>
      </c>
      <c r="E15" s="1"/>
    </row>
    <row r="16" spans="1:5" x14ac:dyDescent="0.25">
      <c r="A16" s="1"/>
      <c r="B16" s="65" t="s">
        <v>184</v>
      </c>
      <c r="C16" s="23">
        <f>('Fane 2.1. Økonomisk ramme 2025'!C11+'Fane 2.1. Økonomisk ramme 2025'!C13+'Fane 2.1. Økonomisk ramme 2025'!C15)*(1+'Fane 15. Nøgletal'!C10)</f>
        <v>431479.89290279878</v>
      </c>
      <c r="D16" s="14" t="s">
        <v>3</v>
      </c>
      <c r="E16" s="1"/>
    </row>
    <row r="17" spans="1:5" x14ac:dyDescent="0.25">
      <c r="A17" s="1"/>
      <c r="B17" s="65" t="s">
        <v>137</v>
      </c>
      <c r="C17" s="82">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8" t="s">
        <v>82</v>
      </c>
      <c r="C20" s="109"/>
      <c r="D20" s="110"/>
      <c r="E20" s="1"/>
    </row>
    <row r="21" spans="1:5" x14ac:dyDescent="0.25">
      <c r="A21" s="1"/>
      <c r="B21" s="65" t="s">
        <v>191</v>
      </c>
      <c r="C21" s="23">
        <f>(C15+C16-C17)*(1+'Fane 15. Nøgletal'!C10)</f>
        <v>72439401.602016702</v>
      </c>
      <c r="D21" s="14" t="s">
        <v>3</v>
      </c>
      <c r="E21" s="1"/>
    </row>
    <row r="22" spans="1:5" x14ac:dyDescent="0.25">
      <c r="A22" s="1"/>
      <c r="B22" s="65" t="s">
        <v>196</v>
      </c>
      <c r="C22" s="82">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8" t="s">
        <v>138</v>
      </c>
      <c r="C25" s="109"/>
      <c r="D25" s="110"/>
      <c r="E25" s="1"/>
    </row>
    <row r="26" spans="1:5" x14ac:dyDescent="0.25">
      <c r="A26" s="1"/>
      <c r="B26" s="65" t="s">
        <v>192</v>
      </c>
      <c r="C26" s="23">
        <f>(C21-C22)*(1+'Fane 15. Nøgletal'!C10)</f>
        <v>77242133.928230405</v>
      </c>
      <c r="D26" s="14" t="s">
        <v>3</v>
      </c>
      <c r="E26" s="1"/>
    </row>
    <row r="27" spans="1:5" x14ac:dyDescent="0.25">
      <c r="A27" s="1"/>
      <c r="B27" s="65" t="s">
        <v>197</v>
      </c>
      <c r="C27" s="82">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8" t="s">
        <v>163</v>
      </c>
      <c r="C30" s="109"/>
      <c r="D30" s="110"/>
      <c r="E30" s="1"/>
    </row>
    <row r="31" spans="1:5" x14ac:dyDescent="0.25">
      <c r="A31" s="1"/>
      <c r="B31" s="65" t="s">
        <v>199</v>
      </c>
      <c r="C31" s="23">
        <f>(C26-C27)*(1+'Fane 15. Nøgletal'!C10)</f>
        <v>82363287.407672077</v>
      </c>
      <c r="D31" s="14" t="s">
        <v>3</v>
      </c>
      <c r="E31" s="1"/>
    </row>
    <row r="32" spans="1:5" x14ac:dyDescent="0.25">
      <c r="A32" s="1"/>
      <c r="B32" s="65" t="s">
        <v>198</v>
      </c>
      <c r="C32" s="82">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ptmg860gd+P93nY8oXs+nCGQK+F687OtZv2OGA3jCKoKp51vaeSt/jEPV58Ebenzizm3bFNqJxcuO8VUllNZAw==" saltValue="eJ2kl0T77GTADRpHIGBLiw=="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5" t="s">
        <v>164</v>
      </c>
      <c r="C9" s="22">
        <v>0</v>
      </c>
      <c r="D9" s="1"/>
    </row>
    <row r="10" spans="1:4" x14ac:dyDescent="0.25">
      <c r="A10" s="1"/>
      <c r="B10" s="33"/>
      <c r="C10" s="19"/>
      <c r="D10" s="1"/>
    </row>
    <row r="11" spans="1:4" x14ac:dyDescent="0.25">
      <c r="A11" s="1"/>
      <c r="B11" s="112" t="s">
        <v>217</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SaKo08T/DyhPsTk81QMfG4OR3XP7Ow3fT7y2aQ7XEwpj3rlkyiGthIQq6syg1GjW8aTSepCkCWKdMmgN8A19gw==" saltValue="Psu1TAEX+tARTT3218b9Hg=="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2024-08-28T06:47:47Z</dcterms:modified>
</cp:coreProperties>
</file>