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uresø Vandforsyning a.m.b.a. (V05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12" i="11" l="1"/>
  <c r="E33" i="32" l="1"/>
  <c r="E39" i="32" s="1"/>
  <c r="E41" i="32" s="1"/>
  <c r="E16" i="27" l="1"/>
  <c r="E11" i="11" l="1"/>
  <c r="E13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4" i="11"/>
  <c r="C10" i="37" s="1"/>
  <c r="C11" i="37" s="1"/>
  <c r="G14" i="11"/>
  <c r="C12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4" i="11"/>
  <c r="E10" i="37" s="1"/>
  <c r="E11" i="37" s="1"/>
  <c r="G35" i="30" l="1"/>
  <c r="G37" i="30" s="1"/>
  <c r="C19" i="2"/>
  <c r="E12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<sst xmlns="http://schemas.openxmlformats.org/spreadsheetml/2006/main" count="603" uniqueCount="256">
  <si>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</si>
  <si>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</si>
  <si>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</si>
  <si>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</si>
  <si>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</si>
  <si>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</si>
  <si>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</si>
  <si>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</si>
  <si>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</si>
  <si>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</si>
  <si>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</si>
  <si>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</si>
  <si>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</si>
  <si>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</si>
  <si>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</si>
  <si>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</si>
  <si>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</si>
  <si>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</si>
  <si>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</si>
  <si>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</si>
  <si>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</si>
  <si>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</si>
  <si>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</si>
  <si>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</si>
  <si>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</si>
  <si>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</si>
  <si>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</si>
  <si>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</si>
  <si>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</si>
  <si>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</si>
  <si>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</si>
  <si>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</si>
  <si>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</si>
  <si>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</si>
  <si>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</si>
  <si>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</si>
  <si>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</si>
  <si>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</si>
  <si>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</si>
  <si>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</si>
  <si>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</si>
  <si>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</si>
  <si>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</si>
  <si>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</si>
  <si>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</si>
  <si>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</si>
  <si>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</si>
  <si>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</si>
  <si>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</si>
  <si>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</si>
  <si>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</si>
  <si>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</si>
  <si>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</si>
  <si>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</si>
  <si>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</si>
  <si>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</si>
  <si>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</si>
  <si>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</si>
  <si>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</si>
  <si>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</si>
  <si>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</si>
  <si>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</si>
  <si>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</si>
  <si>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</si>
  <si>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</si>
  <si>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</si>
  <si>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</si>
  <si>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</si>
  <si>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</si>
  <si>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</si>
  <si>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</si>
  <si>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</si>
  <si>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</si>
  <si>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</si>
  <si>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</si>
  <si>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</si>
  <si>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</si>
  <si>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</si>
  <si>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</si>
  <si>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</si>
  <si>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</si>
  <si>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</si>
  <si>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</si>
  <si>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</si>
  <si>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</si>
  <si>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</si>
  <si>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</si>
  <si>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</si>
  <si>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</si>
  <si>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</si>
  <si>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</si>
  <si>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</si>
  <si>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</si>
  <si>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</si>
  <si>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</si>
  <si>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</si>
  <si>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</si>
  <si>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</si>
  <si>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</si>
  <si>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</si>
  <si>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</si>
  <si>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</si>
  <si>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</si>
  <si>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</si>
  <si>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</si>
  <si>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</si>
  <si>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</si>
  <si>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</si>
  <si>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</si>
  <si>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</si>
  <si>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</si>
  <si>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</si>
  <si>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</si>
  <si>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</si>
  <si>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</si>
  <si>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</si>
  <si>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</si>
  <si>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</si>
  <si>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</si>
  <si>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</si>
  <si>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</si>
  <si>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</si>
  <si>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</si>
  <si>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</si>
  <si>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</si>
  <si>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</si>
  <si>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</si>
  <si>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</si>
  <si>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</si>
  <si>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</si>
  <si>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</si>
  <si>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</si>
  <si>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</si>
  <si>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</si>
  <si>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</si>
  <si>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</si>
  <si>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</si>
  <si>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</si>
  <si>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</si>
  <si>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</si>
  <si>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</si>
  <si>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</si>
  <si>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</si>
  <si>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</si>
  <si>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</si>
  <si>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</si>
  <si>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</si>
  <si>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</si>
  <si>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</si>
  <si>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</si>
  <si>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</si>
  <si>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</si>
  <si>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</si>
  <si>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</si>
  <si>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</si>
  <si>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</si>
  <si>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</si>
  <si>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</si>
  <si>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</si>
  <si>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</si>
  <si>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</si>
  <si>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</si>
  <si>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</si>
  <si>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</si>
  <si>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</si>
  <si>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</si>
  <si>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</si>
  <si>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</si>
  <si>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</si>
  <si>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</si>
  <si>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</si>
  <si>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</si>
  <si>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</si>
  <si>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</si>
  <si>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</si>
  <si>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</si>
  <si>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</si>
  <si>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</si>
  <si>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</si>
  <si>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</si>
  <si>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</si>
  <si>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</si>
  <si>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</si>
  <si>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</si>
  <si>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</si>
  <si>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</si>
  <si>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</si>
  <si>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</si>
  <si>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</si>
  <si>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</si>
  <si>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</si>
  <si>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</si>
  <si>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</si>
  <si>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</si>
  <si>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</si>
  <si>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</si>
  <si>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</si>
  <si>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</si>
  <si>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</si>
  <si>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</si>
  <si>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</si>
  <si>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</si>
  <si>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</si>
  <si>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</si>
  <si>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</si>
  <si>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</si>
  <si>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</si>
  <si>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</si>
  <si>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</si>
  <si>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</si>
  <si>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</si>
  <si>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</si>
  <si>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</si>
  <si>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</si>
  <si>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</si>
  <si>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</si>
  <si>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</si>
  <si>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</si>
  <si>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</si>
  <si>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</si>
  <si>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</si>
  <si>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</si>
  <si>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</si>
  <si>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</si>
  <si>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</si>
  <si>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</si>
  <si>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</si>
  <si>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</si>
  <si>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</si>
  <si>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</si>
  <si>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</si>
  <si>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</si>
  <si>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</si>
  <si>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</si>
  <si>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</si>
  <si>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</si>
  <si>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</si>
  <si>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</si>
  <si>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tilknyttet virksomhed</t>
  </si>
  <si>
    <t>Ingen bortfald eller nedsættelse</t>
  </si>
  <si>
    <t>Ingen engangstillæg</t>
  </si>
  <si>
    <t>Økonomisk ramme for 2024</t>
  </si>
  <si>
    <t>SRO-brønd/kvarterbrønd/sektionsbrønd, Konstruktioner</t>
  </si>
  <si>
    <t>50</t>
  </si>
  <si>
    <t>Ø110 mm &lt; Ledningsnet ≤ Ø 250 mm</t>
  </si>
  <si>
    <t>75</t>
  </si>
  <si>
    <t>Elanlæg</t>
  </si>
  <si>
    <t>20</t>
  </si>
  <si>
    <t>SRO anlæg</t>
  </si>
  <si>
    <t>10</t>
  </si>
  <si>
    <t>Yderligere opkrævningsret efter § 17, stk. 10 - 2017</t>
  </si>
  <si>
    <t>Yderligere opkrævningsret efter § 17, stk. 10 - 2018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</si>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</sst>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0" t="s">
        <v>234</v>
      </c>
      <c r="C10" s="9">
        <v>10748400</v>
      </c>
      <c r="D10" s="14" t="s">
        <v>3</v>
      </c>
      <c r="E10" s="1"/>
      <c r="F10" s="1"/>
    </row>
    <row r="11" spans="1:6" x14ac:dyDescent="0.45">
      <c r="A11" s="1"/>
      <c r="B11" s="50" t="s">
        <v>235</v>
      </c>
      <c r="C11" s="9">
        <v>71346</v>
      </c>
      <c r="D11" s="14" t="s">
        <v>3</v>
      </c>
      <c r="E11" s="1"/>
      <c r="F11" s="1"/>
    </row>
    <row r="12" spans="1:6" x14ac:dyDescent="0.45">
      <c r="A12" s="1"/>
      <c r="B12" s="50" t="s">
        <v>236</v>
      </c>
      <c r="C12" s="9">
        <v>548996</v>
      </c>
      <c r="D12" s="14" t="s">
        <v>3</v>
      </c>
      <c r="E12" s="1"/>
      <c r="F12" s="1"/>
    </row>
    <row r="13" spans="1:6" x14ac:dyDescent="0.45">
      <c r="A13" s="1"/>
      <c r="B13" s="50" t="s">
        <v>237</v>
      </c>
      <c r="C13" s="9">
        <v>49493</v>
      </c>
      <c r="D13" s="14" t="s">
        <v>3</v>
      </c>
      <c r="E13" s="1"/>
      <c r="F13" s="1"/>
    </row>
    <row r="14" spans="1:6" x14ac:dyDescent="0.45">
      <c r="A14" s="1"/>
      <c r="B14" s="49" t="s">
        <v>255</v>
      </c>
      <c r="C14" s="9">
        <v>19874</v>
      </c>
      <c r="D14" s="14" t="s">
        <v>3</v>
      </c>
      <c r="E14" s="1"/>
      <c r="F14" s="1"/>
    </row>
    <row r="15" spans="1:6" x14ac:dyDescent="0.45">
      <c r="A15" s="1"/>
      <c r="B15" s="46" t="s">
        <v>169</v>
      </c>
      <c r="C15" s="12">
        <f>SUM(C10:C14)</f>
        <v>11438109</v>
      </c>
      <c r="D15" s="13" t="s">
        <v>3</v>
      </c>
      <c r="E15" s="1"/>
      <c r="F15" s="1"/>
    </row>
    <row r="16" spans="1:6" x14ac:dyDescent="0.45">
      <c r="A16" s="1"/>
      <c r="B16" s="46" t="s">
        <v>170</v>
      </c>
      <c r="C16" s="12">
        <f>C15*(1+'Fane 12. Nøgletal'!C13)^2</f>
        <v>11718901.307743561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0JnXofyHfQ9jt3lno8TexZ/7zfxjMpVeJPCZLAjiJzWTfUEkfbFSnQh6p1pfNiLYwr4ls2jCZr4+cmIQWHgYuQ==" saltValue="kaM5X9TgsGzt/lazJ4j+S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48"/>
      <c r="C5" s="48"/>
      <c r="D5" s="48"/>
      <c r="E5" s="48"/>
      <c r="F5" s="48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1294062.1200000001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2016180.4002811275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3310242.5202811277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0"/>
      <c r="G10" s="1"/>
    </row>
    <row r="11" spans="1:7" ht="28.5" customHeight="1" x14ac:dyDescent="0.4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35472422.527072959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31121917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4350505.5270729586</v>
      </c>
      <c r="F17" s="17" t="s">
        <v>3</v>
      </c>
      <c r="G17" s="1"/>
    </row>
    <row r="18" spans="1:7" x14ac:dyDescent="0.45">
      <c r="A18" s="1"/>
      <c r="B18" s="46"/>
      <c r="C18" s="47"/>
      <c r="D18" s="47"/>
      <c r="E18" s="47"/>
      <c r="F18" s="20"/>
      <c r="G18" s="1"/>
    </row>
    <row r="19" spans="1:7" ht="30" customHeight="1" x14ac:dyDescent="0.4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27469415.665410738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31510081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-4040665.3345892616</v>
      </c>
      <c r="F25" s="17" t="s">
        <v>3</v>
      </c>
      <c r="G25" s="1"/>
    </row>
    <row r="26" spans="1:7" x14ac:dyDescent="0.45">
      <c r="A26" s="1"/>
      <c r="B26" s="46"/>
      <c r="C26" s="47"/>
      <c r="D26" s="47"/>
      <c r="E26" s="47"/>
      <c r="F26" s="20"/>
      <c r="G26" s="1"/>
    </row>
    <row r="27" spans="1:7" ht="28.5" customHeight="1" x14ac:dyDescent="0.4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29728055.784624524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30475831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-747775.21537547559</v>
      </c>
      <c r="F33" s="17" t="s">
        <v>3</v>
      </c>
      <c r="G33" s="1"/>
    </row>
    <row r="34" spans="1:7" x14ac:dyDescent="0.45">
      <c r="A34" s="1"/>
      <c r="B34" s="46"/>
      <c r="C34" s="47"/>
      <c r="D34" s="47"/>
      <c r="E34" s="47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250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251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,ABS(E33)&gt;ABS(E17+E25)),0,IF(AND(E9&gt;0,E17&gt;0,E25&lt;0,E33&gt;0,ABS(E17)&lt;ABS(E25),ABS(E33)&lt;ABS(E17+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)</f>
        <v>-437935.0228917785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-218967.51144588925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jdJrXSNXmS7aLncgKFEtg60K44wU/XU6XQ+y0FXNTVLs3o+JYwJU1IALN60mjmXo4f1IDnJyiB1d0mlh5eSj9g==" saltValue="qQtMLVC4pjIKaldUNxtmwA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39.75" x14ac:dyDescent="0.45">
      <c r="A10" s="1"/>
      <c r="B10" s="53" t="s">
        <v>242</v>
      </c>
      <c r="C10" s="54" t="s">
        <v>243</v>
      </c>
      <c r="D10" s="9">
        <v>118214</v>
      </c>
      <c r="E10" s="9">
        <f>IFERROR(D10/C10,0)</f>
        <v>2364.2800000000002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53" t="s">
        <v>244</v>
      </c>
      <c r="C11" s="54" t="s">
        <v>245</v>
      </c>
      <c r="D11" s="9">
        <v>2463713</v>
      </c>
      <c r="E11" s="9">
        <f t="shared" ref="E11:E13" si="0">IFERROR(D11/C11,0)</f>
        <v>32849.506666666668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53" t="s">
        <v>246</v>
      </c>
      <c r="C12" s="54" t="s">
        <v>247</v>
      </c>
      <c r="D12" s="9">
        <v>34425</v>
      </c>
      <c r="E12" s="9">
        <f t="shared" si="0"/>
        <v>1721.25</v>
      </c>
      <c r="F12" s="9">
        <v>0</v>
      </c>
      <c r="G12" s="9">
        <v>0</v>
      </c>
      <c r="H12" s="14" t="s">
        <v>3</v>
      </c>
      <c r="I12" s="1"/>
    </row>
    <row r="13" spans="1:9" x14ac:dyDescent="0.45">
      <c r="A13" s="1"/>
      <c r="B13" s="53" t="s">
        <v>248</v>
      </c>
      <c r="C13" s="54" t="s">
        <v>249</v>
      </c>
      <c r="D13" s="9">
        <v>10346</v>
      </c>
      <c r="E13" s="9">
        <f t="shared" si="0"/>
        <v>1034.5999999999999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96" t="s">
        <v>198</v>
      </c>
      <c r="C14" s="97"/>
      <c r="D14" s="98"/>
      <c r="E14" s="12">
        <f>SUM(E10:E13)</f>
        <v>37969.636666666665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tHkv6EL7qFDXC46ywmIl3PaTwvYOnB63ZmARZv82Ekk1X5JyMoBsF80DpBjR5UdBQuP7JQkO5g9yX/3U0r6Lg==" saltValue="NXi9RlkRyCWfpc5biYR1Uw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Anlægsprojekter'!F14</f>
        <v>0</v>
      </c>
      <c r="D10" s="14" t="s">
        <v>3</v>
      </c>
      <c r="E10" s="9">
        <f>SUM('Fane 8. Anlægsprojekter'!E14,'Fane 8. Anlægsprojekter'!G14)</f>
        <v>37969.636666666665</v>
      </c>
      <c r="F10" s="14" t="s">
        <v>3</v>
      </c>
      <c r="G10" s="1"/>
    </row>
    <row r="11" spans="1:7" x14ac:dyDescent="0.45">
      <c r="A11" s="1"/>
      <c r="B11" s="46" t="s">
        <v>48</v>
      </c>
      <c r="C11" s="12">
        <f>SUM(C10:C10)</f>
        <v>0</v>
      </c>
      <c r="D11" s="13" t="s">
        <v>3</v>
      </c>
      <c r="E11" s="12">
        <f>SUM(E10:E10)</f>
        <v>37969.636666666665</v>
      </c>
      <c r="F11" s="13" t="s">
        <v>3</v>
      </c>
      <c r="G11" s="1"/>
    </row>
    <row r="12" spans="1:7" x14ac:dyDescent="0.45">
      <c r="A12" s="1"/>
      <c r="B12" s="46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38432.866234000001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EgVkheIHudiblfZF32Kms1eyLyIm+nExMP4y8YkmycDFwS8Bmorthm2ztj+yJIWxu1aIbJnf14+qms4E1hTJsg==" saltValue="Qrn9r98EH8IFd3vQdEfjc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6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4" t="s">
        <v>16</v>
      </c>
      <c r="C17" s="44" t="s">
        <v>11</v>
      </c>
      <c r="D17" s="45"/>
      <c r="E17" s="44" t="s">
        <v>34</v>
      </c>
      <c r="F17" s="43"/>
      <c r="G17" s="1"/>
    </row>
    <row r="18" spans="1:7" x14ac:dyDescent="0.4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6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4" t="s">
        <v>16</v>
      </c>
      <c r="C25" s="44" t="s">
        <v>11</v>
      </c>
      <c r="D25" s="45"/>
      <c r="E25" s="44" t="s">
        <v>34</v>
      </c>
      <c r="F25" s="43"/>
      <c r="G25" s="1"/>
    </row>
    <row r="26" spans="1:7" x14ac:dyDescent="0.4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6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4" t="s">
        <v>16</v>
      </c>
      <c r="C33" s="44" t="s">
        <v>11</v>
      </c>
      <c r="D33" s="45"/>
      <c r="E33" s="44" t="s">
        <v>34</v>
      </c>
      <c r="F33" s="43"/>
      <c r="G33" s="1"/>
    </row>
    <row r="34" spans="1:7" x14ac:dyDescent="0.4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6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1tTfzL5JcF3sHHDWLbUV/EPylw6yqZzD2YGoeOEsWCiPcoCgXrvvlTJF/8A4zunB4qmUr2c9TGkwcIOqJ3WC8w==" saltValue="x2seqdq+yWmS00Yafejj5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ubblY8+AE+SW1SvZ+L3snbMc4yIJU6Lj87Vz+m3+VPgjH6mBny9ytsEmGrXdnCzApiABmPbPtuNIeanjekC2A==" saltValue="HzRKOkEPOBPyYE3Sdgb7f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Mw2m9We1o0St59VytyQ5XbksQXRrgW1Oy3eKqGoTQkXAks89LoYWNLHuW/5M6ImUBW4i2KLtTQldKjdcTXK96Q==" saltValue="7+D1a5I/m5PZDjQQO05EU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20"/>
      <c r="D8" s="1"/>
    </row>
    <row r="9" spans="1:4" x14ac:dyDescent="0.45">
      <c r="A9" s="1"/>
      <c r="B9" s="50" t="s">
        <v>141</v>
      </c>
      <c r="C9" s="26">
        <v>1.2699999999999999E-2</v>
      </c>
      <c r="D9" s="1"/>
    </row>
    <row r="10" spans="1:4" x14ac:dyDescent="0.45">
      <c r="A10" s="1"/>
      <c r="B10" s="50" t="s">
        <v>22</v>
      </c>
      <c r="C10" s="26">
        <v>1.7500000000000002E-2</v>
      </c>
      <c r="D10" s="1"/>
    </row>
    <row r="11" spans="1:4" x14ac:dyDescent="0.45">
      <c r="A11" s="1"/>
      <c r="B11" s="50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126</v>
      </c>
      <c r="C17" s="20"/>
      <c r="D17" s="1"/>
    </row>
    <row r="18" spans="1:4" x14ac:dyDescent="0.45">
      <c r="A18" s="1"/>
      <c r="B18" s="50" t="s">
        <v>143</v>
      </c>
      <c r="C18" s="23">
        <v>9.1000000000000004E-3</v>
      </c>
      <c r="D18" s="1"/>
    </row>
    <row r="19" spans="1:4" x14ac:dyDescent="0.45">
      <c r="A19" s="1"/>
      <c r="B19" s="50" t="s">
        <v>144</v>
      </c>
      <c r="C19" s="23">
        <v>1.77E-2</v>
      </c>
      <c r="D19" s="1"/>
    </row>
    <row r="20" spans="1:4" x14ac:dyDescent="0.45">
      <c r="A20" s="1"/>
      <c r="B20" s="50" t="s">
        <v>145</v>
      </c>
      <c r="C20" s="23">
        <v>8.6999999999999994E-3</v>
      </c>
      <c r="D20" s="1"/>
    </row>
    <row r="21" spans="1:4" x14ac:dyDescent="0.45">
      <c r="A21" s="1"/>
      <c r="B21" s="50" t="s">
        <v>146</v>
      </c>
      <c r="C21" s="36">
        <v>2.8400000000000002E-2</v>
      </c>
      <c r="D21" s="1"/>
    </row>
    <row r="22" spans="1:4" x14ac:dyDescent="0.45">
      <c r="A22" s="1"/>
      <c r="B22" s="50" t="s">
        <v>186</v>
      </c>
      <c r="C22" s="36">
        <v>2.75E-2</v>
      </c>
      <c r="D22" s="1"/>
    </row>
    <row r="23" spans="1:4" x14ac:dyDescent="0.45">
      <c r="A23" s="1"/>
      <c r="B23" s="46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6" t="s">
        <v>127</v>
      </c>
      <c r="C26" s="20"/>
      <c r="D26" s="1"/>
    </row>
    <row r="27" spans="1:4" x14ac:dyDescent="0.45">
      <c r="A27" s="1"/>
      <c r="B27" s="50" t="s">
        <v>147</v>
      </c>
      <c r="C27" s="26">
        <v>0.02</v>
      </c>
      <c r="D27" s="1"/>
    </row>
    <row r="28" spans="1:4" x14ac:dyDescent="0.45">
      <c r="A28" s="1"/>
      <c r="B28" s="46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j9uStqUZwTHR7aCdyVMkiKRsLB3AicowMgAkk3X0i6M8RqBQ77v1GVEfZ37dQI4i557J9UqL27hJVNgzlsjPSw==" saltValue="4BAVl+ViyiYVM+9p0VZcb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x14ac:dyDescent="0.45">
      <c r="A9" s="1"/>
      <c r="B9" s="49" t="s">
        <v>25</v>
      </c>
      <c r="C9" s="7">
        <f>'Fane 3. Omkostninger i ØR2020'!E20</f>
        <v>16409854.418442897</v>
      </c>
      <c r="D9" s="8" t="s">
        <v>3</v>
      </c>
      <c r="E9" s="1"/>
    </row>
    <row r="10" spans="1:5" x14ac:dyDescent="0.45">
      <c r="A10" s="1"/>
      <c r="B10" s="49" t="s">
        <v>252</v>
      </c>
      <c r="C10" s="7">
        <v>-746.0853696164387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tillæg'!E12</f>
        <v>38432.866234000001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200660.00263154885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-114790.89770384505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-190208.12224901095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-204354.08888024159</v>
      </c>
      <c r="D20" s="8" t="s">
        <v>3</v>
      </c>
      <c r="E20" s="1"/>
    </row>
    <row r="21" spans="1:5" ht="17.100000000000001" customHeight="1" x14ac:dyDescent="0.45">
      <c r="A21" s="1"/>
      <c r="B21" s="51" t="s">
        <v>20</v>
      </c>
      <c r="C21" s="10">
        <f>SUM(C9:C20)</f>
        <v>16138848.093105733</v>
      </c>
      <c r="D21" s="11" t="s">
        <v>3</v>
      </c>
      <c r="E21" s="1"/>
    </row>
    <row r="22" spans="1:5" ht="15" customHeight="1" x14ac:dyDescent="0.45">
      <c r="A22" s="1"/>
      <c r="B22" s="46" t="s">
        <v>12</v>
      </c>
      <c r="C22" s="47"/>
      <c r="D22" s="20"/>
      <c r="E22" s="1"/>
    </row>
    <row r="23" spans="1:5" ht="15" customHeight="1" x14ac:dyDescent="0.45">
      <c r="A23" s="1"/>
      <c r="B23" s="42" t="s">
        <v>12</v>
      </c>
      <c r="C23" s="10">
        <f>'Fane 6. Ikke-påvirkelige omk.'!C16</f>
        <v>11718901.307743561</v>
      </c>
      <c r="D23" s="11" t="s">
        <v>3</v>
      </c>
      <c r="E23" s="1"/>
    </row>
    <row r="24" spans="1:5" ht="15" customHeight="1" x14ac:dyDescent="0.45">
      <c r="A24" s="1"/>
      <c r="B24" s="46" t="s">
        <v>99</v>
      </c>
      <c r="C24" s="47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7"/>
      <c r="D28" s="20"/>
      <c r="E28" s="1"/>
    </row>
    <row r="29" spans="1:5" x14ac:dyDescent="0.45">
      <c r="A29" s="1"/>
      <c r="B29" s="39" t="s">
        <v>205</v>
      </c>
      <c r="C29" s="10">
        <f>'Fane 7. Kontrol af ØR2019'!E41</f>
        <v>-218967.51144588925</v>
      </c>
      <c r="D29" s="11" t="s">
        <v>3</v>
      </c>
      <c r="E29" s="1"/>
    </row>
    <row r="30" spans="1:5" x14ac:dyDescent="0.45">
      <c r="A30" s="1"/>
      <c r="B30" s="38" t="s">
        <v>253</v>
      </c>
      <c r="C30" s="47"/>
      <c r="D30" s="20"/>
      <c r="E30" s="1"/>
    </row>
    <row r="31" spans="1:5" x14ac:dyDescent="0.45">
      <c r="A31" s="1"/>
      <c r="B31" s="39" t="s">
        <v>254</v>
      </c>
      <c r="C31" s="10">
        <v>6.547909528561501</v>
      </c>
      <c r="D31" s="11" t="s">
        <v>3</v>
      </c>
      <c r="E31" s="1"/>
    </row>
    <row r="32" spans="1:5" x14ac:dyDescent="0.45">
      <c r="A32" s="1"/>
      <c r="B32" s="46" t="s">
        <v>31</v>
      </c>
      <c r="C32" s="32">
        <f>SUM(C21,C23,C27,C29,C31)</f>
        <v>27638788.437312931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Cez6WpMJg3vIkRial0BZ1OsJpG4yD/yXJxvdqy4k33dYxV94R8uwt9f2v1NTFemq8Rv2qb9hUGrAeP+fEG0DCg==" saltValue="CfJrWoI8hJUSwCg3x54hE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ht="15" customHeight="1" x14ac:dyDescent="0.45">
      <c r="A9" s="1"/>
      <c r="B9" s="49" t="s">
        <v>26</v>
      </c>
      <c r="C9" s="7">
        <f>'Fane 2.1. Økonomisk ramme 2021'!C21</f>
        <v>16138848.093105733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0" t="s">
        <v>18</v>
      </c>
      <c r="C12" s="9">
        <f>SUM(C9:C11)*'Fane 12. Nøgletal'!C13</f>
        <v>196893.94673588997</v>
      </c>
      <c r="D12" s="8" t="s">
        <v>3</v>
      </c>
      <c r="E12" s="1"/>
    </row>
    <row r="13" spans="1:5" ht="15" customHeight="1" x14ac:dyDescent="0.45">
      <c r="A13" s="1"/>
      <c r="B13" s="40" t="s">
        <v>9</v>
      </c>
      <c r="C13" s="9">
        <f>-SUM(C9:C12)*'Fane 5. Individuelt eff. krav'!G10</f>
        <v>-112636.46268243551</v>
      </c>
      <c r="D13" s="8" t="s">
        <v>3</v>
      </c>
      <c r="E13" s="1"/>
    </row>
    <row r="14" spans="1:5" ht="15" customHeight="1" x14ac:dyDescent="0.45">
      <c r="A14" s="1"/>
      <c r="B14" s="40" t="s">
        <v>27</v>
      </c>
      <c r="C14" s="9">
        <f>-'Fane 4.1. Gen. krav - drift'!G37</f>
        <v>-188678.08811363991</v>
      </c>
      <c r="D14" s="8" t="s">
        <v>3</v>
      </c>
      <c r="E14" s="1"/>
    </row>
    <row r="15" spans="1:5" ht="15" customHeight="1" x14ac:dyDescent="0.45">
      <c r="A15" s="1"/>
      <c r="B15" s="40" t="s">
        <v>28</v>
      </c>
      <c r="C15" s="9">
        <f>-'Fane 4.2. Gen. krav - anlæg'!G37</f>
        <v>-201158.91052355454</v>
      </c>
      <c r="D15" s="8" t="s">
        <v>3</v>
      </c>
      <c r="E15" s="1"/>
    </row>
    <row r="16" spans="1:5" ht="15" customHeight="1" x14ac:dyDescent="0.45">
      <c r="A16" s="1"/>
      <c r="B16" s="41" t="s">
        <v>20</v>
      </c>
      <c r="C16" s="10">
        <f>SUM(C9:C15)</f>
        <v>15833268.578521995</v>
      </c>
      <c r="D16" s="11" t="s">
        <v>3</v>
      </c>
      <c r="E16" s="1"/>
    </row>
    <row r="17" spans="1:5" x14ac:dyDescent="0.45">
      <c r="A17" s="1"/>
      <c r="B17" s="46" t="s">
        <v>12</v>
      </c>
      <c r="C17" s="47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11861871.903698033</v>
      </c>
      <c r="D18" s="11" t="s">
        <v>3</v>
      </c>
      <c r="E18" s="1"/>
    </row>
    <row r="19" spans="1:5" ht="15" customHeight="1" x14ac:dyDescent="0.45">
      <c r="A19" s="1"/>
      <c r="B19" s="46" t="s">
        <v>99</v>
      </c>
      <c r="C19" s="47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7"/>
      <c r="D23" s="20"/>
      <c r="E23" s="1"/>
    </row>
    <row r="24" spans="1:5" ht="15" customHeight="1" x14ac:dyDescent="0.45">
      <c r="A24" s="1"/>
      <c r="B24" s="52" t="s">
        <v>205</v>
      </c>
      <c r="C24" s="10">
        <f>'Fane 7. Kontrol af ØR2019'!E41</f>
        <v>-218967.51144588925</v>
      </c>
      <c r="D24" s="11" t="s">
        <v>3</v>
      </c>
      <c r="E24" s="1"/>
    </row>
    <row r="25" spans="1:5" x14ac:dyDescent="0.45">
      <c r="A25" s="1"/>
      <c r="B25" s="46" t="s">
        <v>32</v>
      </c>
      <c r="C25" s="12">
        <f>SUM(C16,C18,C22,C24)</f>
        <v>27476172.970774136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F5sbdGTexn1uYVy6ml9hu1UJjO4IOHnf94BCLN8eHBUcgpchIqy+zVHJecTMxPj5IscuO30K0yFCM8+2jIw0Q==" saltValue="Vajvk0fMYJxUI+RQEsFf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9" t="s">
        <v>165</v>
      </c>
      <c r="C8" s="7">
        <f>'Fane 2.2. Økonomisk ramme 2022'!C16</f>
        <v>15833268.578521995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193165.87665796836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-110503.75808094468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drift'!G43</f>
        <v>-187160.36157285381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anlæg'!G43</f>
        <v>-198013.6903780635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15530756.6451481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12006586.740923148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109</v>
      </c>
      <c r="C22" s="12">
        <f>SUM(C15,C17,C21)</f>
        <v>27537343.38607125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LfNj3Yq6zSimhJ2ocTeQvK3dxJ8marDLmCukuCcklMT0SMChsPPrpV+kDqvbC/T2vfSyig+s4v26j5QaaJyrvg==" saltValue="+M6V3DsX0XUBZkXPHO0Tt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9" t="s">
        <v>166</v>
      </c>
      <c r="C8" s="7">
        <f>'Fane 2.3. Økonomisk ramme 2023'!C15</f>
        <v>15530756.6451481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189475.23107080683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-108392.46278292302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drift'!G49</f>
        <v>-185654.84362436176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anlæg'!G49</f>
        <v>-194917.64732215728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15231266.922489466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12153067.099162411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241</v>
      </c>
      <c r="C22" s="12">
        <f>SUM(C15,C17,C21)</f>
        <v>27384334.021651879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7SBOshtRanHbljgEe2FxPgvwfB2Wl/41Z/8DfTP0C6hoNmCoZbFgM4+nIEHed/IPzdeEN+3NByvi+lY6Tzs4g==" saltValue="wm+vbq6ic5hfFWwxtb1q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167</v>
      </c>
      <c r="C8" s="47"/>
      <c r="D8" s="47"/>
      <c r="E8" s="47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16325414.920683986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194392.10023199997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279729.03653412976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-129897.60723551123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-191750.56378409016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-68033.467987616023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16409854.418442897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7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13180030.454744011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7"/>
      <c r="F23" s="47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-723491</v>
      </c>
      <c r="F28" s="11" t="s">
        <v>3</v>
      </c>
      <c r="G28" s="1"/>
    </row>
    <row r="29" spans="1:7" x14ac:dyDescent="0.4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1655121.2601405638</v>
      </c>
      <c r="F30" s="11" t="s">
        <v>3</v>
      </c>
      <c r="G30" s="1"/>
    </row>
    <row r="31" spans="1:7" x14ac:dyDescent="0.45">
      <c r="A31" s="1"/>
      <c r="B31" s="46" t="s">
        <v>232</v>
      </c>
      <c r="C31" s="47"/>
      <c r="D31" s="47"/>
      <c r="E31" s="47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45">
      <c r="A33" s="1"/>
      <c r="B33" s="46" t="s">
        <v>24</v>
      </c>
      <c r="C33" s="47"/>
      <c r="D33" s="47"/>
      <c r="E33" s="12">
        <f>SUM(E30,E26,E28,E22,E20,E32)</f>
        <v>30521515.133327473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QhIEGqZYMOWEDw5RO8FJ2+Lh+mlLNFoGR1hNhNuMibVjWFX8QU8+Biq5490/3oEE0p9pQh215I7Z+6Zg2UhwEg==" saltValue="IuCdk/oMB+HHL/BpZPvWuA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9727273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194545.46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9653793.1797579993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193075.86359515999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9620603.4388059899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0.38634940250020416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192412.07650310785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9587528.1892045084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191750.56378409016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9510406.1124505475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190208.12224901095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9433904.4056819957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188678.08811363991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9358018.0786426906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187160.36157285381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9282742.1812180877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185654.84362436176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pRCKpTHi/z7HyjErewAVQxH7UGJIVgGuD23f5/xOhXXCB+o3Eb8oX9n+DAFk7A+8rXGmdLsoXNgq3DXS70KQmg==" saltValue="W81Sd4nqxivjKDDv//df9Q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6762099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61535.100900000005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6785661.0606185691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61749.515651628979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6837545.6500768801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278023.44281723525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61905.4511081788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7172870.557332118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198221.62460657037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68033.467987616023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7392156.0302612754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38901.747202054801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204354.08888024159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7314869.4735838016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201158.91052355454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7200497.8319295822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198013.6903780635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7087914.448078447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194917.64732215728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Oz9FHtsIFblfeLL7WM/3Y/utBskjO56ptecMNpS8fkwL8EnKDPXkZ5EwiqNmihElOQKlntsKpDSjhjxoXnxMaA==" saltValue="fCrsPwunMlQFS37ZwSoFI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7.7322139606293078E-3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6.8950931281679031E-3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O9c5FI3Hnc35UTfpXYMD5o8AelMqxtHaR151MTpMxJvOyP+kel7YlgnM9c3Riko2PZ9ry7nEJSY/T6KhUgUdQ==" saltValue="m366xX4ZPtz53N/9b9Lsi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2020-10-20T07:47:18Z</dcterms:modified>
</cp:coreProperties>
</file>