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Ishøj Spildevand AS (S053)\ØR2024\"/>
    </mc:Choice>
  </mc:AlternateContent>
  <xr:revisionPtr revIDLastSave="0" documentId="13_ncr:1_{992FA304-5616-4283-8FE6-4D7EE299ABF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7" i="44"/>
  <c r="E18" i="44" l="1"/>
  <c r="C9" i="2"/>
  <c r="E29" i="44" l="1"/>
  <c r="E31" i="44" s="1"/>
  <c r="E11" i="20"/>
  <c r="C20" i="15" l="1"/>
  <c r="C32" i="2"/>
  <c r="E30" i="20"/>
  <c r="E29" i="20"/>
  <c r="E31" i="20" s="1"/>
  <c r="E24" i="20"/>
  <c r="E23" i="20"/>
  <c r="E25" i="20" s="1"/>
  <c r="G18" i="41" l="1"/>
  <c r="E17" i="20" l="1"/>
  <c r="C22" i="23" l="1"/>
  <c r="C22" i="22"/>
  <c r="C22" i="15"/>
  <c r="C36" i="2"/>
  <c r="C13" i="29" l="1"/>
  <c r="C14" i="29" s="1"/>
  <c r="E13" i="29"/>
  <c r="E14" i="29" s="1"/>
  <c r="E13" i="39"/>
  <c r="E14" i="39" s="1"/>
  <c r="C13" i="39"/>
  <c r="C14" i="39" s="1"/>
  <c r="J11" i="11"/>
  <c r="H11" i="11"/>
  <c r="C20" i="19"/>
  <c r="C21" i="19" s="1"/>
  <c r="C22" i="2" s="1"/>
  <c r="C16" i="23" l="1"/>
  <c r="C16" i="15"/>
  <c r="C16" i="22"/>
  <c r="F10" i="11"/>
  <c r="F11" i="11" s="1"/>
  <c r="C12" i="21" l="1"/>
  <c r="C13" i="21" s="1"/>
  <c r="C12" i="2" l="1"/>
  <c r="C15" i="2" l="1"/>
  <c r="C14" i="2"/>
  <c r="G6" i="36" l="1"/>
  <c r="C26" i="2" l="1"/>
  <c r="C28" i="2" s="1"/>
  <c r="C27" i="2" l="1"/>
  <c r="C29" i="2" s="1"/>
  <c r="C30" i="2" l="1"/>
  <c r="C18" i="22" l="1"/>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<sst xmlns="http://schemas.openxmlformats.org/spreadsheetml/2006/main" count="656" uniqueCount="292">
  <si>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</si>
  <si>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</si>
  <si>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</si>
  <si>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</si>
  <si>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</si>
  <si>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</si>
  <si>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</si>
  <si>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</si>
  <si>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</si>
  <si>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</si>
  <si>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</si>
  <si>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</si>
  <si>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</si>
  <si>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</si>
  <si>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</si>
  <si>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</si>
  <si>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</si>
  <si>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</si>
  <si>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</si>
  <si>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</si>
  <si>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</si>
  <si>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</si>
  <si>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</si>
  <si>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</si>
  <si>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</si>
  <si>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</si>
  <si>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</si>
  <si>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</si>
  <si>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</si>
  <si>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</si>
  <si>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</si>
  <si>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</si>
  <si>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</si>
  <si>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</si>
  <si>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</si>
  <si>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</si>
  <si>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</si>
  <si>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</si>
  <si>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</si>
  <si>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</si>
  <si>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</si>
  <si>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</si>
  <si>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</si>
  <si>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</si>
  <si>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</si>
  <si>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</si>
  <si>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</si>
  <si>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</si>
  <si>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</si>
  <si>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</si>
  <si>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</si>
  <si>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</si>
  <si>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</si>
  <si>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</si>
  <si>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</si>
  <si>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</si>
  <si>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</si>
  <si>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</si>
  <si>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</si>
  <si>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</si>
  <si>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</si>
  <si>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</si>
  <si>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</si>
  <si>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</si>
  <si>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</si>
  <si>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</si>
  <si>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</si>
  <si>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</si>
  <si>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</si>
  <si>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</si>
  <si>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</si>
  <si>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</si>
  <si>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</si>
  <si>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</si>
  <si>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</si>
  <si>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</si>
  <si>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</si>
  <si>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</si>
  <si>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</si>
  <si>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</si>
  <si>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</si>
  <si>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</si>
  <si>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</si>
  <si>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</si>
  <si>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</si>
  <si>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</si>
  <si>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</si>
  <si>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</si>
  <si>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</si>
  <si>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</si>
  <si>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</si>
  <si>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</si>
  <si>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</si>
  <si>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</si>
  <si>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</si>
  <si>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</si>
  <si>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</si>
  <si>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</si>
  <si>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</si>
  <si>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</si>
  <si>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</si>
  <si>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</si>
  <si>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</si>
  <si>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</si>
  <si>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</si>
  <si>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</si>
  <si>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</si>
  <si>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</si>
  <si>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</si>
  <si>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</si>
  <si>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</si>
  <si>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</si>
  <si>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</si>
  <si>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</si>
  <si>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</si>
  <si>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</si>
  <si>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</si>
  <si>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</si>
  <si>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</si>
  <si>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</si>
  <si>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</si>
  <si>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</si>
  <si>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</si>
  <si>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</si>
  <si>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</si>
  <si>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</si>
  <si>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</si>
  <si>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</si>
  <si>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</si>
  <si>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</si>
  <si>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</si>
  <si>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</si>
  <si>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</si>
  <si>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</si>
  <si>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</si>
  <si>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</si>
  <si>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</si>
  <si>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</si>
  <si>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</si>
  <si>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</si>
  <si>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</si>
  <si>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</si>
  <si>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</si>
  <si>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</si>
  <si>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</si>
  <si>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</si>
  <si>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</si>
  <si>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</si>
  <si>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</si>
  <si>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</si>
  <si>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</si>
  <si>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</si>
  <si>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</si>
  <si>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</si>
  <si>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</si>
  <si>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</si>
  <si>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</si>
  <si>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</si>
  <si>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</si>
  <si>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</si>
  <si>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</si>
  <si>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</si>
  <si>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</si>
  <si>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</si>
  <si>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</si>
  <si>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</si>
  <si>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</si>
  <si>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</si>
  <si>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</si>
  <si>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</si>
  <si>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</si>
  <si>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</si>
  <si>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</si>
  <si>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</si>
  <si>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</si>
  <si>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</si>
  <si>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</si>
  <si>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</si>
  <si>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</si>
  <si>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</si>
  <si>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</si>
  <si>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</si>
  <si>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</si>
  <si>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</si>
  <si>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</si>
  <si>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</si>
  <si>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</si>
  <si>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</si>
  <si>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</si>
  <si>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</si>
  <si>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</si>
  <si>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</si>
  <si>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</si>
  <si>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</si>
  <si>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</si>
  <si>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</si>
  <si>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</si>
  <si>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</si>
  <si>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</si>
  <si>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</si>
  <si>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</si>
  <si>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</si>
  <si>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</si>
  <si>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</si>
  <si>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</si>
  <si>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</si>
  <si>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</si>
  <si>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</si>
  <si>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</si>
  <si>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</si>
  <si>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</si>
  <si>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</si>
  <si>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</si>
  <si>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</si>
  <si>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</si>
  <si>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</si>
  <si>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</si>
  <si>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</si>
  <si>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</si>
  <si>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</si>
  <si>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</si>
  <si>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</si>
  <si>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</si>
  <si>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</si>
  <si>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</si>
  <si>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</si>
  <si>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</si>
  <si>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</si>
  <si>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</si>
  <si>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</si>
  <si>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</si>
  <si>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</si>
  <si>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</si>
  <si>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</si>
  <si>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</si>
  <si>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</si>
  <si>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</si>
  <si>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</si>
  <si>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</si>
  <si>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</si>
  <si>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</si>
  <si>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</si>
  <si>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</si>
  <si>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</si>
  <si>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</si>
  <si>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</si>
  <si>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</si>
  <si>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</si>
  <si>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</si>
  <si>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</si>
  <si>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</si>
  <si>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</si>
  <si>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</si>
  <si>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</si>
  <si>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</si>
  <si>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</si>
  <si>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</si>
  <si>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</si>
  <si>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</si>
  <si>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</si>
  <si>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</si>
  <si>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</si>
  <si>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</si>
  <si>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</si>
  <si>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</si>
  <si>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</si>
  <si>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</si>
  <si>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</si>
  <si>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</si>
  <si>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</si>
  <si>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</si>
  <si>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</si>
  <si>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</si>
  <si>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</si>
  <si>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Selskabsskat</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</si>
  <si>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</si>
  <si>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</si>
  <si>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</si>
  <si>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</si>
  <si>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</si>
  <si>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</si>
  <si>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</si>
  <si>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</si>
  <si>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</si>
  <si>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</si>
  <si>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</si>
  <si>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</si>
  <si>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290633 Tranebakken</t>
  </si>
  <si>
    <t>290634 Lille Vejleå</t>
  </si>
  <si>
    <t>Oprensning Ishøj Sø</t>
  </si>
  <si>
    <t>Tranegilde Strandvej</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</si>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</sst>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102" t="s">
        <v>252</v>
      </c>
      <c r="E8" s="102"/>
      <c r="F8" s="102"/>
      <c r="G8" s="102"/>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1" t="s">
        <v>5</v>
      </c>
      <c r="E11" s="101"/>
      <c r="F11" s="101"/>
      <c r="G11" s="101"/>
      <c r="H11" s="5"/>
      <c r="I11" s="1"/>
    </row>
    <row r="12" spans="1:9" x14ac:dyDescent="0.25">
      <c r="A12" s="1"/>
      <c r="B12" s="1"/>
      <c r="C12" s="1"/>
      <c r="D12" s="1"/>
      <c r="E12" s="1"/>
      <c r="F12" s="1"/>
      <c r="G12" s="1"/>
      <c r="H12" s="5"/>
      <c r="I12" s="1"/>
    </row>
    <row r="13" spans="1:9" x14ac:dyDescent="0.25">
      <c r="A13" s="1"/>
      <c r="B13" s="1"/>
      <c r="C13" s="6" t="s">
        <v>6</v>
      </c>
      <c r="D13" s="106" t="s">
        <v>196</v>
      </c>
      <c r="E13" s="107"/>
      <c r="F13" s="107"/>
      <c r="G13" s="108"/>
      <c r="H13" s="5"/>
      <c r="I13" s="1"/>
    </row>
    <row r="14" spans="1:9" x14ac:dyDescent="0.25">
      <c r="A14" s="1"/>
      <c r="B14" s="1"/>
      <c r="C14" s="6" t="s">
        <v>16</v>
      </c>
      <c r="D14" s="91" t="s">
        <v>197</v>
      </c>
      <c r="E14" s="92"/>
      <c r="F14" s="92"/>
      <c r="G14" s="93"/>
      <c r="H14" s="5"/>
      <c r="I14" s="1"/>
    </row>
    <row r="15" spans="1:9" x14ac:dyDescent="0.25">
      <c r="A15" s="1"/>
      <c r="B15" s="1"/>
      <c r="C15" s="6" t="s">
        <v>31</v>
      </c>
      <c r="D15" s="91" t="s">
        <v>262</v>
      </c>
      <c r="E15" s="92"/>
      <c r="F15" s="92"/>
      <c r="G15" s="93"/>
      <c r="H15" s="5"/>
      <c r="I15" s="1"/>
    </row>
    <row r="16" spans="1:9" x14ac:dyDescent="0.25">
      <c r="A16" s="1"/>
      <c r="B16" s="1"/>
      <c r="C16" s="6" t="s">
        <v>32</v>
      </c>
      <c r="D16" s="91" t="s">
        <v>263</v>
      </c>
      <c r="E16" s="92"/>
      <c r="F16" s="92"/>
      <c r="G16" s="93"/>
      <c r="H16" s="5"/>
      <c r="I16" s="1"/>
    </row>
    <row r="17" spans="1:9" x14ac:dyDescent="0.25">
      <c r="A17" s="1"/>
      <c r="B17" s="1"/>
      <c r="C17" s="6" t="s">
        <v>101</v>
      </c>
      <c r="D17" s="91" t="s">
        <v>198</v>
      </c>
      <c r="E17" s="92"/>
      <c r="F17" s="92"/>
      <c r="G17" s="93"/>
      <c r="H17" s="5"/>
      <c r="I17" s="1"/>
    </row>
    <row r="18" spans="1:9" x14ac:dyDescent="0.25">
      <c r="A18" s="1"/>
      <c r="B18" s="1"/>
      <c r="C18" s="6" t="s">
        <v>88</v>
      </c>
      <c r="D18" s="103" t="s">
        <v>79</v>
      </c>
      <c r="E18" s="104"/>
      <c r="F18" s="104"/>
      <c r="G18" s="105"/>
      <c r="H18" s="5"/>
      <c r="I18" s="1"/>
    </row>
    <row r="19" spans="1:9" x14ac:dyDescent="0.25">
      <c r="A19" s="1"/>
      <c r="B19" s="1"/>
      <c r="C19" s="6" t="s">
        <v>89</v>
      </c>
      <c r="D19" s="103" t="s">
        <v>80</v>
      </c>
      <c r="E19" s="104"/>
      <c r="F19" s="104"/>
      <c r="G19" s="105"/>
      <c r="H19" s="5"/>
      <c r="I19" s="1"/>
    </row>
    <row r="20" spans="1:9" x14ac:dyDescent="0.25">
      <c r="A20" s="1"/>
      <c r="B20" s="1"/>
      <c r="C20" s="6" t="s">
        <v>7</v>
      </c>
      <c r="D20" s="103" t="s">
        <v>10</v>
      </c>
      <c r="E20" s="104"/>
      <c r="F20" s="104"/>
      <c r="G20" s="105"/>
      <c r="H20" s="5"/>
      <c r="I20" s="1"/>
    </row>
    <row r="21" spans="1:9" x14ac:dyDescent="0.25">
      <c r="A21" s="1"/>
      <c r="B21" s="1"/>
      <c r="C21" s="6" t="s">
        <v>90</v>
      </c>
      <c r="D21" s="95" t="s">
        <v>12</v>
      </c>
      <c r="E21" s="96"/>
      <c r="F21" s="96"/>
      <c r="G21" s="97"/>
      <c r="H21" s="5"/>
      <c r="I21" s="1"/>
    </row>
    <row r="22" spans="1:9" x14ac:dyDescent="0.25">
      <c r="A22" s="1"/>
      <c r="B22" s="1"/>
      <c r="C22" s="6" t="s">
        <v>71</v>
      </c>
      <c r="D22" s="98" t="s">
        <v>199</v>
      </c>
      <c r="E22" s="99"/>
      <c r="F22" s="99"/>
      <c r="G22" s="100"/>
      <c r="H22" s="5"/>
      <c r="I22" s="1"/>
    </row>
    <row r="23" spans="1:9" x14ac:dyDescent="0.25">
      <c r="A23" s="1"/>
      <c r="B23" s="1"/>
      <c r="C23" s="6" t="s">
        <v>8</v>
      </c>
      <c r="D23" s="98" t="s">
        <v>181</v>
      </c>
      <c r="E23" s="99"/>
      <c r="F23" s="99"/>
      <c r="G23" s="100"/>
      <c r="H23" s="5"/>
      <c r="I23" s="1"/>
    </row>
    <row r="24" spans="1:9" x14ac:dyDescent="0.25">
      <c r="A24" s="1"/>
      <c r="B24" s="1"/>
      <c r="C24" s="6" t="s">
        <v>9</v>
      </c>
      <c r="D24" s="98" t="s">
        <v>200</v>
      </c>
      <c r="E24" s="99"/>
      <c r="F24" s="99"/>
      <c r="G24" s="100"/>
      <c r="H24" s="5"/>
      <c r="I24" s="1"/>
    </row>
    <row r="25" spans="1:9" x14ac:dyDescent="0.25">
      <c r="A25" s="1"/>
      <c r="B25" s="1"/>
      <c r="C25" s="6" t="s">
        <v>166</v>
      </c>
      <c r="D25" s="98" t="s">
        <v>160</v>
      </c>
      <c r="E25" s="99"/>
      <c r="F25" s="99"/>
      <c r="G25" s="100"/>
      <c r="H25" s="1"/>
      <c r="I25" s="1"/>
    </row>
    <row r="26" spans="1:9" x14ac:dyDescent="0.25">
      <c r="A26" s="1"/>
      <c r="B26" s="1"/>
      <c r="C26" s="6" t="s">
        <v>167</v>
      </c>
      <c r="D26" s="98" t="s">
        <v>72</v>
      </c>
      <c r="E26" s="99"/>
      <c r="F26" s="99"/>
      <c r="G26" s="100"/>
      <c r="H26" s="1"/>
      <c r="I26" s="1"/>
    </row>
    <row r="27" spans="1:9" x14ac:dyDescent="0.25">
      <c r="A27" s="1"/>
      <c r="B27" s="1"/>
      <c r="C27" s="6" t="s">
        <v>168</v>
      </c>
      <c r="D27" s="98" t="s">
        <v>73</v>
      </c>
      <c r="E27" s="99"/>
      <c r="F27" s="99"/>
      <c r="G27" s="100"/>
      <c r="H27" s="1"/>
      <c r="I27" s="1"/>
    </row>
    <row r="28" spans="1:9" x14ac:dyDescent="0.25">
      <c r="A28" s="1"/>
      <c r="B28" s="1"/>
      <c r="C28" s="6" t="s">
        <v>15</v>
      </c>
      <c r="D28" s="98" t="s">
        <v>74</v>
      </c>
      <c r="E28" s="99"/>
      <c r="F28" s="99"/>
      <c r="G28" s="100"/>
      <c r="H28" s="1"/>
      <c r="I28" s="1"/>
    </row>
    <row r="29" spans="1:9" x14ac:dyDescent="0.25">
      <c r="A29" s="1"/>
      <c r="B29" s="1"/>
      <c r="C29" s="6" t="s">
        <v>34</v>
      </c>
      <c r="D29" s="98" t="s">
        <v>114</v>
      </c>
      <c r="E29" s="99"/>
      <c r="F29" s="99"/>
      <c r="G29" s="100"/>
      <c r="H29" s="1"/>
      <c r="I29" s="1"/>
    </row>
    <row r="30" spans="1:9" x14ac:dyDescent="0.25">
      <c r="A30" s="1"/>
      <c r="B30" s="1"/>
      <c r="C30" s="6" t="s">
        <v>35</v>
      </c>
      <c r="D30" s="98" t="s">
        <v>33</v>
      </c>
      <c r="E30" s="99"/>
      <c r="F30" s="99"/>
      <c r="G30" s="100"/>
      <c r="H30" s="1"/>
      <c r="I30" s="1"/>
    </row>
    <row r="31" spans="1:9" x14ac:dyDescent="0.25">
      <c r="A31" s="1"/>
      <c r="B31" s="1"/>
      <c r="C31" s="6" t="s">
        <v>169</v>
      </c>
      <c r="D31" s="109" t="s">
        <v>87</v>
      </c>
      <c r="E31" s="110"/>
      <c r="F31" s="110"/>
      <c r="G31" s="11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B0gQDt5G/2gQbY8MaMtp4YdlTL0UH2Q/n6KAk2q7MjFoYEfWhiHk4f1dJxdXFp/C9/rQJDrUwDZPKmhdOgcfkw==" saltValue="/YkpMBemOMn5aFvjF20pR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93</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224</v>
      </c>
      <c r="C8" s="120"/>
      <c r="D8" s="121"/>
      <c r="E8" s="1"/>
      <c r="F8" s="1"/>
    </row>
    <row r="9" spans="1:6" ht="15" customHeight="1" x14ac:dyDescent="0.25">
      <c r="A9" s="1"/>
      <c r="B9" s="27" t="s">
        <v>29</v>
      </c>
      <c r="C9" s="50" t="s">
        <v>225</v>
      </c>
      <c r="D9" s="11"/>
      <c r="E9" s="1"/>
      <c r="F9" s="1"/>
    </row>
    <row r="10" spans="1:6" ht="15" customHeight="1" x14ac:dyDescent="0.25">
      <c r="A10" s="1"/>
      <c r="B10" s="83" t="s">
        <v>272</v>
      </c>
      <c r="C10" s="9">
        <v>75172</v>
      </c>
      <c r="D10" s="14" t="s">
        <v>3</v>
      </c>
      <c r="E10" s="1"/>
      <c r="F10" s="1"/>
    </row>
    <row r="11" spans="1:6" ht="26.25" x14ac:dyDescent="0.25">
      <c r="A11" s="1"/>
      <c r="B11" s="29" t="s">
        <v>273</v>
      </c>
      <c r="C11" s="9">
        <v>9008572</v>
      </c>
      <c r="D11" s="14" t="s">
        <v>3</v>
      </c>
      <c r="E11" s="1"/>
      <c r="F11" s="1"/>
    </row>
    <row r="12" spans="1:6" x14ac:dyDescent="0.25">
      <c r="A12" s="1"/>
      <c r="B12" s="83" t="s">
        <v>274</v>
      </c>
      <c r="C12" s="9">
        <v>42450</v>
      </c>
      <c r="D12" s="14" t="s">
        <v>3</v>
      </c>
      <c r="E12" s="1"/>
      <c r="F12" s="1"/>
    </row>
    <row r="13" spans="1:6" x14ac:dyDescent="0.25">
      <c r="A13" s="1"/>
      <c r="B13" s="83"/>
      <c r="C13" s="9"/>
      <c r="D13" s="14" t="s">
        <v>3</v>
      </c>
      <c r="E13" s="1"/>
      <c r="F13" s="1"/>
    </row>
    <row r="14" spans="1:6" x14ac:dyDescent="0.25">
      <c r="A14" s="1"/>
      <c r="B14" s="83"/>
      <c r="C14" s="9"/>
      <c r="D14" s="14" t="s">
        <v>3</v>
      </c>
      <c r="E14" s="1"/>
      <c r="F14" s="1"/>
    </row>
    <row r="15" spans="1:6" x14ac:dyDescent="0.25">
      <c r="A15" s="1"/>
      <c r="B15" s="83"/>
      <c r="C15" s="9"/>
      <c r="D15" s="14" t="s">
        <v>3</v>
      </c>
      <c r="E15" s="1"/>
      <c r="F15" s="1"/>
    </row>
    <row r="16" spans="1:6" x14ac:dyDescent="0.25">
      <c r="A16" s="1"/>
      <c r="B16" s="83"/>
      <c r="C16" s="9"/>
      <c r="D16" s="14" t="s">
        <v>3</v>
      </c>
      <c r="E16" s="1"/>
      <c r="F16" s="1"/>
    </row>
    <row r="17" spans="1:6" x14ac:dyDescent="0.25">
      <c r="A17" s="1"/>
      <c r="B17" s="83"/>
      <c r="C17" s="9"/>
      <c r="D17" s="14" t="s">
        <v>3</v>
      </c>
      <c r="E17" s="1"/>
      <c r="F17" s="1"/>
    </row>
    <row r="18" spans="1:6" x14ac:dyDescent="0.25">
      <c r="A18" s="1"/>
      <c r="B18" s="83"/>
      <c r="C18" s="9"/>
      <c r="D18" s="14" t="s">
        <v>3</v>
      </c>
      <c r="E18" s="1"/>
      <c r="F18" s="1"/>
    </row>
    <row r="19" spans="1:6" x14ac:dyDescent="0.25">
      <c r="A19" s="1"/>
      <c r="B19" s="83"/>
      <c r="C19" s="9"/>
      <c r="D19" s="14" t="s">
        <v>3</v>
      </c>
      <c r="E19" s="1"/>
      <c r="F19" s="1"/>
    </row>
    <row r="20" spans="1:6" x14ac:dyDescent="0.25">
      <c r="A20" s="1"/>
      <c r="B20" s="33" t="s">
        <v>226</v>
      </c>
      <c r="C20" s="12">
        <f>SUM(C10:C19)</f>
        <v>9126194</v>
      </c>
      <c r="D20" s="13" t="s">
        <v>3</v>
      </c>
      <c r="E20" s="1"/>
      <c r="F20" s="1"/>
    </row>
    <row r="21" spans="1:6" x14ac:dyDescent="0.25">
      <c r="A21" s="1"/>
      <c r="B21" s="33" t="s">
        <v>227</v>
      </c>
      <c r="C21" s="12">
        <f>C20*(1+'Fane 15. Nøgletal'!C16)^2</f>
        <v>10660568.585596159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9" t="s">
        <v>99</v>
      </c>
      <c r="C24" s="120"/>
      <c r="D24" s="121"/>
      <c r="E24" s="1"/>
      <c r="F24" s="1"/>
    </row>
    <row r="25" spans="1:6" x14ac:dyDescent="0.25">
      <c r="A25" s="1"/>
      <c r="B25" s="83" t="s">
        <v>109</v>
      </c>
      <c r="C25" s="9">
        <v>56478</v>
      </c>
      <c r="D25" s="14" t="s">
        <v>3</v>
      </c>
      <c r="E25" s="1"/>
      <c r="F25" s="1"/>
    </row>
    <row r="26" spans="1:6" x14ac:dyDescent="0.25">
      <c r="A26" s="1"/>
      <c r="B26" s="83" t="s">
        <v>123</v>
      </c>
      <c r="C26" s="9">
        <v>56510</v>
      </c>
      <c r="D26" s="14" t="s">
        <v>3</v>
      </c>
      <c r="E26" s="1"/>
      <c r="F26" s="1"/>
    </row>
    <row r="27" spans="1:6" x14ac:dyDescent="0.25">
      <c r="A27" s="1"/>
      <c r="B27" s="83" t="s">
        <v>142</v>
      </c>
      <c r="C27" s="9">
        <v>2176</v>
      </c>
      <c r="D27" s="14" t="s">
        <v>3</v>
      </c>
      <c r="E27" s="1"/>
      <c r="F27" s="1"/>
    </row>
    <row r="28" spans="1:6" x14ac:dyDescent="0.25">
      <c r="A28" s="1"/>
      <c r="B28" s="34" t="s">
        <v>261</v>
      </c>
      <c r="C28" s="9">
        <v>2209</v>
      </c>
      <c r="D28" s="38" t="s">
        <v>3</v>
      </c>
      <c r="E28" s="1"/>
      <c r="F28" s="1"/>
    </row>
    <row r="29" spans="1:6" x14ac:dyDescent="0.25">
      <c r="A29" s="1"/>
      <c r="B29" s="119"/>
      <c r="C29" s="120"/>
      <c r="D29" s="121"/>
      <c r="E29" s="1"/>
      <c r="F29" s="1"/>
    </row>
    <row r="30" spans="1:6" x14ac:dyDescent="0.25">
      <c r="A30" s="1"/>
      <c r="B30" s="1"/>
      <c r="C30" s="1"/>
      <c r="D30" s="1"/>
      <c r="E30" s="1"/>
      <c r="F30" s="1"/>
    </row>
    <row r="31" spans="1:6" x14ac:dyDescent="0.25">
      <c r="A31" s="1"/>
      <c r="B31" s="1"/>
      <c r="C31" s="1"/>
      <c r="D31" s="1"/>
      <c r="E31" s="1"/>
      <c r="F31" s="1"/>
    </row>
    <row r="32" spans="1:6" x14ac:dyDescent="0.25">
      <c r="A32" s="1"/>
      <c r="B32" s="119" t="s">
        <v>81</v>
      </c>
      <c r="C32" s="120"/>
      <c r="D32" s="121"/>
      <c r="E32" s="1"/>
      <c r="F32" s="1"/>
    </row>
    <row r="33" spans="1:6" x14ac:dyDescent="0.25">
      <c r="A33" s="1"/>
      <c r="B33" s="83" t="s">
        <v>109</v>
      </c>
      <c r="C33" s="9">
        <v>205800</v>
      </c>
      <c r="D33" s="14" t="s">
        <v>3</v>
      </c>
      <c r="E33" s="1"/>
      <c r="F33" s="1"/>
    </row>
    <row r="34" spans="1:6" x14ac:dyDescent="0.25">
      <c r="A34" s="1"/>
      <c r="B34" s="83" t="s">
        <v>123</v>
      </c>
      <c r="C34" s="9">
        <v>205799</v>
      </c>
      <c r="D34" s="14" t="s">
        <v>3</v>
      </c>
      <c r="E34" s="1"/>
      <c r="F34" s="1"/>
    </row>
    <row r="35" spans="1:6" x14ac:dyDescent="0.25">
      <c r="A35" s="1"/>
      <c r="B35" s="83" t="s">
        <v>142</v>
      </c>
      <c r="C35" s="9">
        <v>0</v>
      </c>
      <c r="D35" s="14" t="s">
        <v>3</v>
      </c>
      <c r="E35" s="1"/>
      <c r="F35" s="1"/>
    </row>
    <row r="36" spans="1:6" x14ac:dyDescent="0.25">
      <c r="A36" s="1"/>
      <c r="B36" s="34" t="s">
        <v>261</v>
      </c>
      <c r="C36" s="9">
        <v>0</v>
      </c>
      <c r="D36" s="38" t="s">
        <v>3</v>
      </c>
      <c r="E36" s="1"/>
      <c r="F36" s="1"/>
    </row>
    <row r="37" spans="1:6" x14ac:dyDescent="0.25">
      <c r="A37" s="1"/>
      <c r="B37" s="119"/>
      <c r="C37" s="120"/>
      <c r="D37" s="12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r127TMpElhdsbJDJ19af7BYJrxLi7gHk/xgrXUrLtnOIAtXgrgFjNWPbEcsToSWZoA9xcOvQu2Eo9E/ylDtvBA==" saltValue="qhdvbo6lcP04ejeJC8wc/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D146-12BC-410D-B1B9-0609BC2C4924}">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206</v>
      </c>
      <c r="C3" s="115"/>
      <c r="D3" s="115"/>
      <c r="E3" s="115"/>
      <c r="F3" s="115"/>
      <c r="G3" s="1"/>
    </row>
    <row r="4" spans="1:7" ht="15" customHeight="1" x14ac:dyDescent="0.25">
      <c r="A4" s="1"/>
      <c r="B4" s="115"/>
      <c r="C4" s="115"/>
      <c r="D4" s="115"/>
      <c r="E4" s="115"/>
      <c r="F4" s="115"/>
      <c r="G4" s="1"/>
    </row>
    <row r="5" spans="1:7" ht="15" customHeight="1" x14ac:dyDescent="0.25">
      <c r="A5" s="1"/>
      <c r="B5" s="76"/>
      <c r="C5" s="76"/>
      <c r="D5" s="76"/>
      <c r="E5" s="76"/>
      <c r="F5" s="76"/>
      <c r="G5" s="1"/>
    </row>
    <row r="6" spans="1:7" ht="15" customHeight="1" x14ac:dyDescent="0.25">
      <c r="A6" s="1"/>
      <c r="B6" s="76"/>
      <c r="C6" s="76"/>
      <c r="D6" s="76"/>
      <c r="E6" s="76"/>
      <c r="F6" s="76"/>
      <c r="G6" s="1"/>
    </row>
    <row r="7" spans="1:7" ht="15" customHeight="1" x14ac:dyDescent="0.25">
      <c r="A7" s="1"/>
      <c r="B7" s="1"/>
      <c r="C7" s="1"/>
      <c r="D7" s="1"/>
      <c r="E7" s="1"/>
      <c r="F7" s="1"/>
      <c r="G7" s="1"/>
    </row>
    <row r="8" spans="1:7" ht="15" customHeight="1" x14ac:dyDescent="0.25">
      <c r="A8" s="1"/>
      <c r="B8" s="119" t="s">
        <v>137</v>
      </c>
      <c r="C8" s="120"/>
      <c r="D8" s="120"/>
      <c r="E8" s="120"/>
      <c r="F8" s="121"/>
      <c r="G8" s="1"/>
    </row>
    <row r="9" spans="1:7" ht="15" customHeight="1" x14ac:dyDescent="0.25">
      <c r="A9" s="1"/>
      <c r="B9" s="122" t="s">
        <v>275</v>
      </c>
      <c r="C9" s="123"/>
      <c r="D9" s="124"/>
      <c r="E9" s="9">
        <v>-254993</v>
      </c>
      <c r="F9" s="14" t="s">
        <v>3</v>
      </c>
      <c r="G9" s="1"/>
    </row>
    <row r="10" spans="1:7" ht="15" customHeight="1" x14ac:dyDescent="0.25">
      <c r="A10" s="1"/>
      <c r="B10" s="122" t="s">
        <v>143</v>
      </c>
      <c r="C10" s="123"/>
      <c r="D10" s="124"/>
      <c r="E10" s="9">
        <v>-1287478</v>
      </c>
      <c r="F10" s="14" t="s">
        <v>3</v>
      </c>
      <c r="G10" s="1"/>
    </row>
    <row r="11" spans="1:7" ht="15" customHeight="1" x14ac:dyDescent="0.25">
      <c r="A11" s="1"/>
      <c r="B11" s="122" t="s">
        <v>276</v>
      </c>
      <c r="C11" s="123"/>
      <c r="D11" s="124"/>
      <c r="E11" s="9">
        <v>-472888</v>
      </c>
      <c r="F11" s="14" t="s">
        <v>3</v>
      </c>
      <c r="G11" s="1"/>
    </row>
    <row r="12" spans="1:7" x14ac:dyDescent="0.25">
      <c r="A12" s="1"/>
      <c r="B12" s="33"/>
      <c r="C12" s="28"/>
      <c r="D12" s="28"/>
      <c r="E12" s="28"/>
      <c r="F12" s="19"/>
      <c r="G12" s="1"/>
    </row>
    <row r="13" spans="1:7" ht="42" customHeight="1" x14ac:dyDescent="0.25">
      <c r="A13" s="1"/>
      <c r="B13" s="116" t="s">
        <v>277</v>
      </c>
      <c r="C13" s="117"/>
      <c r="D13" s="117"/>
      <c r="E13" s="117"/>
      <c r="F13" s="118"/>
      <c r="G13" s="1"/>
    </row>
    <row r="14" spans="1:7" ht="15" customHeight="1" x14ac:dyDescent="0.25">
      <c r="A14" s="1"/>
      <c r="B14" s="1"/>
      <c r="C14" s="1"/>
      <c r="D14" s="1"/>
      <c r="E14" s="1"/>
      <c r="F14" s="1"/>
      <c r="G14" s="1"/>
    </row>
    <row r="15" spans="1:7" x14ac:dyDescent="0.25">
      <c r="A15" s="1"/>
      <c r="B15" s="77" t="s">
        <v>278</v>
      </c>
      <c r="C15" s="78"/>
      <c r="D15" s="78"/>
      <c r="E15" s="78"/>
      <c r="F15" s="79"/>
      <c r="G15" s="1"/>
    </row>
    <row r="16" spans="1:7" x14ac:dyDescent="0.25">
      <c r="A16" s="1"/>
      <c r="B16" s="80" t="s">
        <v>279</v>
      </c>
      <c r="C16" s="81"/>
      <c r="D16" s="82"/>
      <c r="E16" s="9">
        <f>IF(E11&lt;0,E11,0)</f>
        <v>-472888</v>
      </c>
      <c r="F16" s="14" t="s">
        <v>3</v>
      </c>
      <c r="G16" s="1"/>
    </row>
    <row r="17" spans="1:7" x14ac:dyDescent="0.25">
      <c r="A17" s="1"/>
      <c r="B17" s="80" t="s">
        <v>280</v>
      </c>
      <c r="C17" s="81"/>
      <c r="D17" s="82"/>
      <c r="E17" s="9">
        <f>IF(SUM(E10)&gt;0,SUM(E10),0)</f>
        <v>0</v>
      </c>
      <c r="F17" s="14" t="s">
        <v>3</v>
      </c>
      <c r="G17" s="1"/>
    </row>
    <row r="18" spans="1:7" x14ac:dyDescent="0.25">
      <c r="A18" s="1"/>
      <c r="B18" s="84" t="s">
        <v>281</v>
      </c>
      <c r="C18" s="85"/>
      <c r="D18" s="86"/>
      <c r="E18" s="62">
        <f>IF(SUM(E16:E17)&gt;0,0,SUM(E16:E17))</f>
        <v>-472888</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7" t="s">
        <v>282</v>
      </c>
      <c r="C21" s="78"/>
      <c r="D21" s="78"/>
      <c r="E21" s="78"/>
      <c r="F21" s="79"/>
      <c r="G21" s="1"/>
    </row>
    <row r="22" spans="1:7" x14ac:dyDescent="0.25">
      <c r="A22" s="1"/>
      <c r="B22" s="80" t="s">
        <v>283</v>
      </c>
      <c r="C22" s="81"/>
      <c r="D22" s="82"/>
      <c r="E22" s="9">
        <v>29022256</v>
      </c>
      <c r="F22" s="14" t="s">
        <v>3</v>
      </c>
      <c r="G22" s="1"/>
    </row>
    <row r="23" spans="1:7" x14ac:dyDescent="0.25">
      <c r="A23" s="1"/>
      <c r="B23" s="80" t="s">
        <v>284</v>
      </c>
      <c r="C23" s="81"/>
      <c r="D23" s="82"/>
      <c r="E23" s="9">
        <v>27745371</v>
      </c>
      <c r="F23" s="14" t="s">
        <v>3</v>
      </c>
      <c r="G23" s="1"/>
    </row>
    <row r="24" spans="1:7" x14ac:dyDescent="0.25">
      <c r="A24" s="1"/>
      <c r="B24" s="80" t="s">
        <v>30</v>
      </c>
      <c r="C24" s="81"/>
      <c r="D24" s="82"/>
      <c r="E24" s="9">
        <v>0</v>
      </c>
      <c r="F24" s="14" t="s">
        <v>3</v>
      </c>
      <c r="G24" s="1"/>
    </row>
    <row r="25" spans="1:7" x14ac:dyDescent="0.25">
      <c r="A25" s="1"/>
      <c r="B25" s="84" t="s">
        <v>285</v>
      </c>
      <c r="C25" s="85"/>
      <c r="D25" s="86"/>
      <c r="E25" s="62">
        <f>E22-E23-E24</f>
        <v>1276885</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9" t="s">
        <v>286</v>
      </c>
      <c r="C28" s="120"/>
      <c r="D28" s="120"/>
      <c r="E28" s="120"/>
      <c r="F28" s="121"/>
      <c r="G28" s="1"/>
    </row>
    <row r="29" spans="1:7" x14ac:dyDescent="0.25">
      <c r="A29" s="1"/>
      <c r="B29" s="134" t="s">
        <v>116</v>
      </c>
      <c r="C29" s="135"/>
      <c r="D29" s="136"/>
      <c r="E29" s="9">
        <f>IF(E18&lt;0,IF(E25&lt;0,SUM(E18,E25),IF(E10&gt;0,SUM(E10:E11),E18)),IF(AND(E25&lt;0,SUM(E25,E11)&lt;0),IF(E11&lt;0,E25,IF(SUM(E10:E11)&gt;0,SUM(E25,E11),IF(AND(E25&lt;0,E18=0,E11&gt;0),IF(SUM(E9:E11)&gt;0,E25+E11,E25)))),0))</f>
        <v>-472888</v>
      </c>
      <c r="F29" s="14" t="s">
        <v>3</v>
      </c>
      <c r="G29" s="1"/>
    </row>
    <row r="30" spans="1:7" x14ac:dyDescent="0.25">
      <c r="A30" s="1"/>
      <c r="B30" s="134" t="s">
        <v>84</v>
      </c>
      <c r="C30" s="135"/>
      <c r="D30" s="136"/>
      <c r="E30" s="9">
        <v>2</v>
      </c>
      <c r="F30" s="14" t="s">
        <v>20</v>
      </c>
      <c r="G30" s="1"/>
    </row>
    <row r="31" spans="1:7" x14ac:dyDescent="0.25">
      <c r="A31" s="1"/>
      <c r="B31" s="137" t="s">
        <v>117</v>
      </c>
      <c r="C31" s="138"/>
      <c r="D31" s="139"/>
      <c r="E31" s="10">
        <f>E29/E30</f>
        <v>-236444</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g1UEuJrAgRBkMdnL62aAb75O+wTtFDAoYeg/pxscTNu6J7ad1EtCq5bCopfo+BCMmxw/L9Qyz2fArtJP52JFIg==" saltValue="WPZMi1TTtumrApGEJjU4vA=="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170</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189</v>
      </c>
      <c r="C8" s="120"/>
      <c r="D8" s="120"/>
      <c r="E8" s="120"/>
      <c r="F8" s="120"/>
      <c r="G8" s="120"/>
      <c r="H8" s="121"/>
      <c r="I8" s="1"/>
    </row>
    <row r="9" spans="1:9" ht="15" customHeight="1" x14ac:dyDescent="0.25">
      <c r="A9" s="1"/>
      <c r="B9" s="146" t="s">
        <v>171</v>
      </c>
      <c r="C9" s="147"/>
      <c r="D9" s="147"/>
      <c r="E9" s="147"/>
      <c r="F9" s="147"/>
      <c r="G9" s="147"/>
      <c r="H9" s="148"/>
      <c r="I9" s="1"/>
    </row>
    <row r="10" spans="1:9" x14ac:dyDescent="0.25">
      <c r="A10" s="1"/>
      <c r="B10" s="143" t="s">
        <v>172</v>
      </c>
      <c r="C10" s="144"/>
      <c r="D10" s="144"/>
      <c r="E10" s="144"/>
      <c r="F10" s="145"/>
      <c r="G10" s="9">
        <v>0</v>
      </c>
      <c r="H10" s="9" t="s">
        <v>3</v>
      </c>
      <c r="I10" s="1"/>
    </row>
    <row r="11" spans="1:9" x14ac:dyDescent="0.25">
      <c r="A11" s="1"/>
      <c r="B11" s="143" t="s">
        <v>173</v>
      </c>
      <c r="C11" s="144"/>
      <c r="D11" s="144"/>
      <c r="E11" s="144"/>
      <c r="F11" s="145"/>
      <c r="G11" s="9">
        <v>0</v>
      </c>
      <c r="H11" s="9" t="s">
        <v>3</v>
      </c>
      <c r="I11" s="1"/>
    </row>
    <row r="12" spans="1:9" x14ac:dyDescent="0.25">
      <c r="A12" s="1"/>
      <c r="B12" s="143" t="s">
        <v>174</v>
      </c>
      <c r="C12" s="144"/>
      <c r="D12" s="144"/>
      <c r="E12" s="144"/>
      <c r="F12" s="145"/>
      <c r="G12" s="9">
        <v>0</v>
      </c>
      <c r="H12" s="9" t="s">
        <v>3</v>
      </c>
      <c r="I12" s="1"/>
    </row>
    <row r="13" spans="1:9" x14ac:dyDescent="0.25">
      <c r="A13" s="1"/>
      <c r="B13" s="143" t="s">
        <v>175</v>
      </c>
      <c r="C13" s="144"/>
      <c r="D13" s="144"/>
      <c r="E13" s="144"/>
      <c r="F13" s="145"/>
      <c r="G13" s="9">
        <v>0</v>
      </c>
      <c r="H13" s="9" t="s">
        <v>3</v>
      </c>
      <c r="I13" s="1"/>
    </row>
    <row r="14" spans="1:9" x14ac:dyDescent="0.25">
      <c r="A14" s="1"/>
      <c r="B14" s="143" t="s">
        <v>176</v>
      </c>
      <c r="C14" s="144"/>
      <c r="D14" s="144"/>
      <c r="E14" s="144"/>
      <c r="F14" s="145"/>
      <c r="G14" s="9">
        <v>0</v>
      </c>
      <c r="H14" s="9" t="s">
        <v>3</v>
      </c>
      <c r="I14" s="1"/>
    </row>
    <row r="15" spans="1:9" x14ac:dyDescent="0.25">
      <c r="A15" s="1"/>
      <c r="B15" s="143" t="s">
        <v>177</v>
      </c>
      <c r="C15" s="144"/>
      <c r="D15" s="144"/>
      <c r="E15" s="144"/>
      <c r="F15" s="145"/>
      <c r="G15" s="9">
        <v>0</v>
      </c>
      <c r="H15" s="9" t="s">
        <v>3</v>
      </c>
      <c r="I15" s="1"/>
    </row>
    <row r="16" spans="1:9" x14ac:dyDescent="0.25">
      <c r="A16" s="1"/>
      <c r="B16" s="143" t="s">
        <v>178</v>
      </c>
      <c r="C16" s="144"/>
      <c r="D16" s="144"/>
      <c r="E16" s="144"/>
      <c r="F16" s="145"/>
      <c r="G16" s="9">
        <v>0</v>
      </c>
      <c r="H16" s="9" t="s">
        <v>3</v>
      </c>
      <c r="I16" s="1"/>
    </row>
    <row r="17" spans="1:9" x14ac:dyDescent="0.25">
      <c r="A17" s="1"/>
      <c r="B17" s="143" t="s">
        <v>179</v>
      </c>
      <c r="C17" s="144"/>
      <c r="D17" s="144"/>
      <c r="E17" s="144"/>
      <c r="F17" s="145"/>
      <c r="G17" s="9">
        <v>0</v>
      </c>
      <c r="H17" s="9" t="s">
        <v>3</v>
      </c>
      <c r="I17" s="1"/>
    </row>
    <row r="18" spans="1:9" x14ac:dyDescent="0.25">
      <c r="A18" s="1"/>
      <c r="B18" s="119" t="s">
        <v>180</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iTOiDPrVlMfiw+MAj/i9rXSqsUVFfXVy5sql4sOwPJpT30mbq0ckCLLUwYRv8stvZKjKOr8oiWyfs4vntRn+Kg==" saltValue="Ogr+elJG6m/lNTFJnQPc8w=="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207</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9" t="s">
        <v>228</v>
      </c>
      <c r="C9" s="120"/>
      <c r="D9" s="120"/>
      <c r="E9" s="120"/>
      <c r="F9" s="121"/>
      <c r="G9" s="1"/>
    </row>
    <row r="10" spans="1:7" x14ac:dyDescent="0.25">
      <c r="A10" s="1"/>
      <c r="B10" s="116" t="s">
        <v>82</v>
      </c>
      <c r="C10" s="117"/>
      <c r="D10" s="118"/>
      <c r="E10" s="7">
        <v>0</v>
      </c>
      <c r="F10" s="8" t="s">
        <v>3</v>
      </c>
      <c r="G10" s="1"/>
    </row>
    <row r="11" spans="1:7" x14ac:dyDescent="0.25">
      <c r="A11" s="1"/>
      <c r="B11" s="122" t="s">
        <v>229</v>
      </c>
      <c r="C11" s="123"/>
      <c r="D11" s="124"/>
      <c r="E11" s="7">
        <v>0</v>
      </c>
      <c r="F11" s="8" t="s">
        <v>3</v>
      </c>
      <c r="G11" s="1"/>
    </row>
    <row r="12" spans="1:7" x14ac:dyDescent="0.25">
      <c r="A12" s="1"/>
      <c r="B12" s="137" t="s">
        <v>83</v>
      </c>
      <c r="C12" s="138"/>
      <c r="D12" s="139"/>
      <c r="E12" s="10">
        <f>E11-E10</f>
        <v>0</v>
      </c>
      <c r="F12" s="11" t="s">
        <v>3</v>
      </c>
      <c r="G12" s="1"/>
    </row>
    <row r="13" spans="1:7" x14ac:dyDescent="0.25">
      <c r="A13" s="1"/>
      <c r="B13" s="119" t="s">
        <v>78</v>
      </c>
      <c r="C13" s="120"/>
      <c r="D13" s="120"/>
      <c r="E13" s="120"/>
      <c r="F13" s="121"/>
      <c r="G13" s="1"/>
    </row>
    <row r="14" spans="1:7" x14ac:dyDescent="0.25">
      <c r="A14" s="1"/>
      <c r="B14" s="122" t="s">
        <v>230</v>
      </c>
      <c r="C14" s="123"/>
      <c r="D14" s="124"/>
      <c r="E14" s="7">
        <v>56417</v>
      </c>
      <c r="F14" s="8" t="s">
        <v>3</v>
      </c>
      <c r="G14" s="1"/>
    </row>
    <row r="15" spans="1:7" x14ac:dyDescent="0.25">
      <c r="A15" s="1"/>
      <c r="B15" s="116" t="s">
        <v>231</v>
      </c>
      <c r="C15" s="117"/>
      <c r="D15" s="118"/>
      <c r="E15" s="7">
        <v>52636</v>
      </c>
      <c r="F15" s="8" t="s">
        <v>3</v>
      </c>
      <c r="G15" s="1"/>
    </row>
    <row r="16" spans="1:7" x14ac:dyDescent="0.25">
      <c r="A16" s="1"/>
      <c r="B16" s="137" t="s">
        <v>83</v>
      </c>
      <c r="C16" s="138"/>
      <c r="D16" s="139"/>
      <c r="E16" s="10">
        <f>E15-E14</f>
        <v>-3781</v>
      </c>
      <c r="F16" s="11" t="s">
        <v>3</v>
      </c>
      <c r="G16" s="1"/>
    </row>
    <row r="17" spans="1:7" x14ac:dyDescent="0.25">
      <c r="A17" s="1"/>
      <c r="B17" s="33" t="s">
        <v>232</v>
      </c>
      <c r="C17" s="28"/>
      <c r="D17" s="28"/>
      <c r="E17" s="12">
        <f>E12+E16</f>
        <v>-3781</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mr+p9C4q5D83P/e33OggWQw5E1XxJqSStgHSouW4C4Aa6Tz0Onhar37Tu/7s1oy+c9QYsWI6Z6cJKSEoNRt2g==" saltValue="uENqjBDnlqrGeiViYCPdf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182</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149</v>
      </c>
      <c r="C8" s="120"/>
      <c r="D8" s="120"/>
      <c r="E8" s="120"/>
      <c r="F8" s="120"/>
      <c r="G8" s="120"/>
      <c r="H8" s="120"/>
      <c r="I8" s="120"/>
      <c r="J8" s="120"/>
      <c r="K8" s="121"/>
      <c r="L8" s="1"/>
    </row>
    <row r="9" spans="1:12" ht="39.75" customHeight="1" x14ac:dyDescent="0.25">
      <c r="A9" s="1"/>
      <c r="B9" s="18" t="s">
        <v>0</v>
      </c>
      <c r="C9" s="18" t="s">
        <v>1</v>
      </c>
      <c r="D9" s="149" t="s">
        <v>165</v>
      </c>
      <c r="E9" s="150"/>
      <c r="F9" s="149" t="s">
        <v>2</v>
      </c>
      <c r="G9" s="150"/>
      <c r="H9" s="149" t="s">
        <v>164</v>
      </c>
      <c r="I9" s="150"/>
      <c r="J9" s="149" t="s">
        <v>27</v>
      </c>
      <c r="K9" s="150"/>
      <c r="L9" s="1"/>
    </row>
    <row r="10" spans="1:12" x14ac:dyDescent="0.25">
      <c r="A10" s="1"/>
      <c r="B10" s="87" t="s">
        <v>265</v>
      </c>
      <c r="C10" s="45">
        <v>0</v>
      </c>
      <c r="D10" s="9">
        <v>0</v>
      </c>
      <c r="E10" s="14" t="s">
        <v>3</v>
      </c>
      <c r="F10" s="9">
        <f>IFERROR(D10/C10,0)</f>
        <v>0</v>
      </c>
      <c r="G10" s="14" t="s">
        <v>3</v>
      </c>
      <c r="H10" s="41">
        <v>0</v>
      </c>
      <c r="I10" s="14" t="s">
        <v>3</v>
      </c>
      <c r="J10" s="41">
        <v>0</v>
      </c>
      <c r="K10" s="14" t="s">
        <v>3</v>
      </c>
      <c r="L10" s="1"/>
    </row>
    <row r="11" spans="1:12" x14ac:dyDescent="0.25">
      <c r="A11" s="1"/>
      <c r="B11" s="77" t="s">
        <v>150</v>
      </c>
      <c r="C11" s="78"/>
      <c r="D11" s="79"/>
      <c r="E11" s="79"/>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iM5b/bUv4gPOi8FGh7SJSbWDo0rmL+37aQt1KNtea5auv0iwFGVeC0C3jnkDdmCxcclVQOGHroq1Qwj82BYJqA==" saltValue="Dq4sHlCqAGHNSF4CffPxB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183</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8" t="s">
        <v>17</v>
      </c>
      <c r="C9" s="88" t="s">
        <v>11</v>
      </c>
      <c r="D9" s="89"/>
      <c r="E9" s="88"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0</v>
      </c>
      <c r="D11" s="14" t="s">
        <v>3</v>
      </c>
      <c r="E11" s="9">
        <v>122797</v>
      </c>
      <c r="F11" s="14" t="s">
        <v>3</v>
      </c>
      <c r="G11" s="1"/>
    </row>
    <row r="12" spans="1:7" x14ac:dyDescent="0.25">
      <c r="A12" s="1"/>
      <c r="B12" s="24" t="s">
        <v>288</v>
      </c>
      <c r="C12" s="21">
        <v>0</v>
      </c>
      <c r="D12" s="14" t="s">
        <v>3</v>
      </c>
      <c r="E12" s="9">
        <v>5254</v>
      </c>
      <c r="F12" s="14" t="s">
        <v>3</v>
      </c>
      <c r="G12" s="1"/>
    </row>
    <row r="13" spans="1:7" x14ac:dyDescent="0.25">
      <c r="A13" s="1"/>
      <c r="B13" s="24" t="s">
        <v>289</v>
      </c>
      <c r="C13" s="21">
        <v>0</v>
      </c>
      <c r="D13" s="14" t="s">
        <v>3</v>
      </c>
      <c r="E13" s="9">
        <v>397528</v>
      </c>
      <c r="F13" s="14" t="s">
        <v>3</v>
      </c>
      <c r="G13" s="1"/>
    </row>
    <row r="14" spans="1:7" x14ac:dyDescent="0.25">
      <c r="A14" s="1"/>
      <c r="B14" s="24" t="s">
        <v>290</v>
      </c>
      <c r="C14" s="21">
        <v>0</v>
      </c>
      <c r="D14" s="14" t="s">
        <v>3</v>
      </c>
      <c r="E14" s="9">
        <v>296716</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822295</v>
      </c>
      <c r="F19" s="13" t="s">
        <v>3</v>
      </c>
      <c r="G19" s="1"/>
    </row>
    <row r="20" spans="1:7" x14ac:dyDescent="0.25">
      <c r="A20" s="1"/>
      <c r="B20" s="33" t="s">
        <v>233</v>
      </c>
      <c r="C20" s="12">
        <f>C19*(1+'Fane 15. Nøgletal'!C16)</f>
        <v>0</v>
      </c>
      <c r="D20" s="13" t="s">
        <v>3</v>
      </c>
      <c r="E20" s="12">
        <f>E19*(1+'Fane 15. Nøgletal'!C16)</f>
        <v>888736.43599999999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ReBTLkHrTL7X8LaBAaAupjcjhXEUSSIYjt+sl7momZhmQtcGmwyoe2Ufe6JxejA16tnhW6ETFyvBY1JNRpF4A==" saltValue="eUU0IpK7l7KrPJQmgowMH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184</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260</v>
      </c>
      <c r="C8" s="120"/>
      <c r="D8" s="120"/>
      <c r="E8" s="120"/>
      <c r="F8" s="121"/>
      <c r="G8" s="1"/>
    </row>
    <row r="9" spans="1:7" x14ac:dyDescent="0.25">
      <c r="A9" s="1"/>
      <c r="B9" s="88" t="s">
        <v>17</v>
      </c>
      <c r="C9" s="88" t="s">
        <v>11</v>
      </c>
      <c r="D9" s="89"/>
      <c r="E9" s="88" t="s">
        <v>28</v>
      </c>
      <c r="F9" s="32"/>
      <c r="G9" s="1"/>
    </row>
    <row r="10" spans="1:7" x14ac:dyDescent="0.25">
      <c r="A10" s="1"/>
      <c r="B10" s="24" t="s">
        <v>291</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1"/>
      <c r="C16" s="151"/>
      <c r="D16" s="151"/>
      <c r="E16" s="151"/>
      <c r="F16" s="151"/>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1"/>
      <c r="C23" s="151"/>
      <c r="D23" s="151"/>
      <c r="E23" s="151"/>
      <c r="F23" s="151"/>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1"/>
      <c r="C30" s="151"/>
      <c r="D30" s="151"/>
      <c r="E30" s="151"/>
      <c r="F30" s="151"/>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lhJOTXe+TBclGUJJ44tDlJl9Y9e71fnYU7YME1vR6exyBkjNXeUixiA5q5f6kqWxHejPgfnC4SYWnB1jVebPQ==" saltValue="QoFwcWQA6isqdY+1k9/tM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185</v>
      </c>
      <c r="C3" s="115"/>
      <c r="D3" s="115"/>
      <c r="E3" s="115"/>
      <c r="F3" s="115"/>
      <c r="G3" s="1"/>
    </row>
    <row r="4" spans="1:7" ht="15" customHeight="1" x14ac:dyDescent="0.25">
      <c r="A4" s="1"/>
      <c r="B4" s="115"/>
      <c r="C4" s="115"/>
      <c r="D4" s="115"/>
      <c r="E4" s="115"/>
      <c r="F4" s="115"/>
      <c r="G4" s="1"/>
    </row>
    <row r="5" spans="1:7" x14ac:dyDescent="0.25">
      <c r="A5" s="1"/>
      <c r="B5" s="115"/>
      <c r="C5" s="115"/>
      <c r="D5" s="115"/>
      <c r="E5" s="115"/>
      <c r="F5" s="11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9" t="s">
        <v>110</v>
      </c>
      <c r="C9" s="120"/>
      <c r="D9" s="120"/>
      <c r="E9" s="120"/>
      <c r="F9" s="121"/>
      <c r="G9" s="1"/>
    </row>
    <row r="10" spans="1:7" x14ac:dyDescent="0.25">
      <c r="A10" s="1"/>
      <c r="B10" s="143" t="s">
        <v>236</v>
      </c>
      <c r="C10" s="144"/>
      <c r="D10" s="145"/>
      <c r="E10" s="9">
        <v>0</v>
      </c>
      <c r="F10" s="14" t="s">
        <v>3</v>
      </c>
      <c r="G10" s="1"/>
    </row>
    <row r="11" spans="1:7" x14ac:dyDescent="0.25">
      <c r="A11" s="1"/>
      <c r="B11" s="152" t="s">
        <v>10</v>
      </c>
      <c r="C11" s="153"/>
      <c r="D11" s="154"/>
      <c r="E11" s="9">
        <f>-E10*'Fane 5. Individuelt eff. krav'!G9</f>
        <v>0</v>
      </c>
      <c r="F11" s="14" t="s">
        <v>3</v>
      </c>
      <c r="G11" s="1"/>
    </row>
    <row r="12" spans="1:7" x14ac:dyDescent="0.25">
      <c r="A12" s="1"/>
      <c r="B12" s="152" t="s">
        <v>23</v>
      </c>
      <c r="C12" s="153"/>
      <c r="D12" s="154"/>
      <c r="E12" s="9">
        <f>-E10*'Fane 15. Nøgletal'!C33</f>
        <v>0</v>
      </c>
      <c r="F12" s="14" t="s">
        <v>3</v>
      </c>
      <c r="G12" s="1"/>
    </row>
    <row r="13" spans="1:7" x14ac:dyDescent="0.25">
      <c r="A13" s="1"/>
      <c r="B13" s="119" t="s">
        <v>111</v>
      </c>
      <c r="C13" s="120"/>
      <c r="D13" s="121"/>
      <c r="E13" s="12">
        <f>SUM(E10:E12)*(1+'Fane 15. Nøgletal'!C16)^2</f>
        <v>0</v>
      </c>
      <c r="F13" s="13" t="s">
        <v>3</v>
      </c>
      <c r="G13" s="1"/>
    </row>
    <row r="14" spans="1:7" x14ac:dyDescent="0.25">
      <c r="A14" s="1"/>
      <c r="B14" s="1"/>
      <c r="C14" s="1"/>
      <c r="D14" s="1"/>
      <c r="E14" s="1"/>
      <c r="F14" s="1"/>
      <c r="G14" s="1"/>
    </row>
    <row r="15" spans="1:7" ht="15" customHeight="1" x14ac:dyDescent="0.25">
      <c r="A15" s="1"/>
      <c r="B15" s="119" t="s">
        <v>124</v>
      </c>
      <c r="C15" s="120"/>
      <c r="D15" s="120"/>
      <c r="E15" s="120"/>
      <c r="F15" s="121"/>
      <c r="G15" s="1"/>
    </row>
    <row r="16" spans="1:7" x14ac:dyDescent="0.25">
      <c r="A16" s="1"/>
      <c r="B16" s="143" t="s">
        <v>236</v>
      </c>
      <c r="C16" s="144"/>
      <c r="D16" s="145"/>
      <c r="E16" s="9">
        <v>0</v>
      </c>
      <c r="F16" s="14" t="s">
        <v>3</v>
      </c>
      <c r="G16" s="1"/>
    </row>
    <row r="17" spans="1:7" x14ac:dyDescent="0.25">
      <c r="A17" s="1"/>
      <c r="B17" s="152" t="s">
        <v>10</v>
      </c>
      <c r="C17" s="153"/>
      <c r="D17" s="154"/>
      <c r="E17" s="9">
        <f>-E16*'Fane 5. Individuelt eff. krav'!G9</f>
        <v>0</v>
      </c>
      <c r="F17" s="14" t="s">
        <v>3</v>
      </c>
      <c r="G17" s="1"/>
    </row>
    <row r="18" spans="1:7" x14ac:dyDescent="0.25">
      <c r="A18" s="1"/>
      <c r="B18" s="152" t="s">
        <v>23</v>
      </c>
      <c r="C18" s="153"/>
      <c r="D18" s="154"/>
      <c r="E18" s="9">
        <f>-E16*'Fane 15. Nøgletal'!C33</f>
        <v>0</v>
      </c>
      <c r="F18" s="14" t="s">
        <v>3</v>
      </c>
      <c r="G18" s="1"/>
    </row>
    <row r="19" spans="1:7" x14ac:dyDescent="0.25">
      <c r="A19" s="1"/>
      <c r="B19" s="119" t="s">
        <v>125</v>
      </c>
      <c r="C19" s="120"/>
      <c r="D19" s="121"/>
      <c r="E19" s="12">
        <f>SUM(E16:E18)*(1+'Fane 15. Nøgletal'!C16)^3</f>
        <v>0</v>
      </c>
      <c r="F19" s="13" t="s">
        <v>3</v>
      </c>
      <c r="G19" s="1"/>
    </row>
    <row r="20" spans="1:7" x14ac:dyDescent="0.25">
      <c r="A20" s="1"/>
      <c r="B20" s="1"/>
      <c r="C20" s="1"/>
      <c r="D20" s="1"/>
      <c r="E20" s="1"/>
      <c r="F20" s="1"/>
      <c r="G20" s="1"/>
    </row>
    <row r="21" spans="1:7" ht="15" customHeight="1" x14ac:dyDescent="0.25">
      <c r="A21" s="1"/>
      <c r="B21" s="119" t="s">
        <v>145</v>
      </c>
      <c r="C21" s="120"/>
      <c r="D21" s="120"/>
      <c r="E21" s="120"/>
      <c r="F21" s="121"/>
      <c r="G21" s="1"/>
    </row>
    <row r="22" spans="1:7" x14ac:dyDescent="0.25">
      <c r="A22" s="1"/>
      <c r="B22" s="143" t="s">
        <v>236</v>
      </c>
      <c r="C22" s="144"/>
      <c r="D22" s="145"/>
      <c r="E22" s="9">
        <v>0</v>
      </c>
      <c r="F22" s="14" t="s">
        <v>3</v>
      </c>
      <c r="G22" s="1"/>
    </row>
    <row r="23" spans="1:7" x14ac:dyDescent="0.25">
      <c r="A23" s="1"/>
      <c r="B23" s="152" t="s">
        <v>10</v>
      </c>
      <c r="C23" s="153"/>
      <c r="D23" s="154"/>
      <c r="E23" s="9">
        <f>-E22*'Fane 5. Individuelt eff. krav'!G9</f>
        <v>0</v>
      </c>
      <c r="F23" s="14" t="s">
        <v>3</v>
      </c>
      <c r="G23" s="1"/>
    </row>
    <row r="24" spans="1:7" x14ac:dyDescent="0.25">
      <c r="A24" s="1"/>
      <c r="B24" s="152" t="s">
        <v>23</v>
      </c>
      <c r="C24" s="153"/>
      <c r="D24" s="154"/>
      <c r="E24" s="9">
        <f>-E22*'Fane 15. Nøgletal'!C33</f>
        <v>0</v>
      </c>
      <c r="F24" s="14" t="s">
        <v>3</v>
      </c>
      <c r="G24" s="1"/>
    </row>
    <row r="25" spans="1:7" x14ac:dyDescent="0.25">
      <c r="A25" s="1"/>
      <c r="B25" s="119" t="s">
        <v>146</v>
      </c>
      <c r="C25" s="120"/>
      <c r="D25" s="121"/>
      <c r="E25" s="12">
        <f>SUM(E22:E24)*(1+'Fane 15. Nøgletal'!C16)^4</f>
        <v>0</v>
      </c>
      <c r="F25" s="13" t="s">
        <v>3</v>
      </c>
      <c r="G25" s="1"/>
    </row>
    <row r="26" spans="1:7" x14ac:dyDescent="0.25">
      <c r="A26" s="1"/>
      <c r="B26" s="1"/>
      <c r="C26" s="1"/>
      <c r="D26" s="1"/>
      <c r="E26" s="1"/>
      <c r="F26" s="1"/>
      <c r="G26" s="1"/>
    </row>
    <row r="27" spans="1:7" ht="15" customHeight="1" x14ac:dyDescent="0.25">
      <c r="A27" s="1"/>
      <c r="B27" s="119" t="s">
        <v>237</v>
      </c>
      <c r="C27" s="120"/>
      <c r="D27" s="120"/>
      <c r="E27" s="120"/>
      <c r="F27" s="121"/>
      <c r="G27" s="1"/>
    </row>
    <row r="28" spans="1:7" ht="14.25" customHeight="1" x14ac:dyDescent="0.25">
      <c r="A28" s="1"/>
      <c r="B28" s="143" t="s">
        <v>236</v>
      </c>
      <c r="C28" s="144"/>
      <c r="D28" s="145"/>
      <c r="E28" s="9">
        <v>0</v>
      </c>
      <c r="F28" s="14" t="s">
        <v>3</v>
      </c>
      <c r="G28" s="1"/>
    </row>
    <row r="29" spans="1:7" x14ac:dyDescent="0.25">
      <c r="A29" s="1"/>
      <c r="B29" s="152" t="s">
        <v>10</v>
      </c>
      <c r="C29" s="153"/>
      <c r="D29" s="154"/>
      <c r="E29" s="9">
        <f>-E28*'Fane 5. Individuelt eff. krav'!G9</f>
        <v>0</v>
      </c>
      <c r="F29" s="14" t="s">
        <v>3</v>
      </c>
      <c r="G29" s="1"/>
    </row>
    <row r="30" spans="1:7" x14ac:dyDescent="0.25">
      <c r="A30" s="1"/>
      <c r="B30" s="152" t="s">
        <v>23</v>
      </c>
      <c r="C30" s="153"/>
      <c r="D30" s="154"/>
      <c r="E30" s="9">
        <f>-E28*'Fane 15. Nøgletal'!C33</f>
        <v>0</v>
      </c>
      <c r="F30" s="14" t="s">
        <v>3</v>
      </c>
      <c r="G30" s="1"/>
    </row>
    <row r="31" spans="1:7" x14ac:dyDescent="0.25">
      <c r="A31" s="1"/>
      <c r="B31" s="119" t="s">
        <v>238</v>
      </c>
      <c r="C31" s="120"/>
      <c r="D31" s="121"/>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rVXttCcH2bwD+AwvAo6UoBI1jGlgZgrK3IoLrlXys8LBAYUyrmfuBX/foHBDR1QZasX3JL/zAVIam/SnOEptA==" saltValue="YDMWPGgqEu79mld9Xjg6I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186</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yYuYmH1i6gIv5eqRP+v6bgVrwRybGpE6zaROHCrtJNppGw9+kWuD+9jPaUCwzo7aZU/p6kE1zPMEMsoSQ3mzYA==" saltValue="cs6xMP0d9muv09lXupP5C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187</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9" t="s">
        <v>240</v>
      </c>
      <c r="C9" s="120"/>
      <c r="D9" s="120"/>
      <c r="E9" s="120"/>
      <c r="F9" s="121"/>
      <c r="G9" s="1"/>
    </row>
    <row r="10" spans="1:7" ht="26.25" customHeight="1" x14ac:dyDescent="0.25">
      <c r="A10" s="1"/>
      <c r="B10" s="31" t="s">
        <v>18</v>
      </c>
      <c r="C10" s="146" t="s">
        <v>11</v>
      </c>
      <c r="D10" s="148"/>
      <c r="E10" s="146" t="s">
        <v>28</v>
      </c>
      <c r="F10" s="148"/>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1"/>
      <c r="C15" s="151"/>
      <c r="D15" s="151"/>
      <c r="E15" s="151"/>
      <c r="F15" s="151"/>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1"/>
      <c r="C21" s="151"/>
      <c r="D21" s="151"/>
      <c r="E21" s="151"/>
      <c r="F21" s="151"/>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1"/>
      <c r="C27" s="151"/>
      <c r="D27" s="151"/>
      <c r="E27" s="151"/>
      <c r="F27" s="151"/>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B/bLQoWv4CouwZd5xhqnRsF5q3UmKPkTjJCiKsYKN/oTv0B0CUtEY/nL457JdK5BZnpspBLiWU/XVMIv6c6ig==" saltValue="PSLCpZ6YlbrT/HGwqgR6b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201</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20160105.896312099</v>
      </c>
      <c r="D9" s="8" t="s">
        <v>3</v>
      </c>
      <c r="E9" s="1"/>
    </row>
    <row r="10" spans="1:5" ht="17.25" customHeight="1" x14ac:dyDescent="0.25">
      <c r="A10" s="1"/>
      <c r="B10" s="90" t="s">
        <v>36</v>
      </c>
      <c r="C10" s="7">
        <f>'Fane 11.1. Varige tillæg'!C20</f>
        <v>0</v>
      </c>
      <c r="D10" s="8" t="s">
        <v>3</v>
      </c>
      <c r="E10" s="1"/>
    </row>
    <row r="11" spans="1:5" ht="17.25" customHeight="1" x14ac:dyDescent="0.25">
      <c r="A11" s="1"/>
      <c r="B11" s="90" t="s">
        <v>37</v>
      </c>
      <c r="C11" s="9">
        <f>'Fane 11.1. Varige tillæg'!E20</f>
        <v>888736.43599999999</v>
      </c>
      <c r="D11" s="8" t="s">
        <v>3</v>
      </c>
      <c r="E11" s="1"/>
    </row>
    <row r="12" spans="1:5" ht="17.25" customHeight="1" x14ac:dyDescent="0.25">
      <c r="A12" s="1"/>
      <c r="B12" s="90" t="s">
        <v>26</v>
      </c>
      <c r="C12" s="9">
        <f>-'Fane 14. Bortfald'!C13</f>
        <v>0</v>
      </c>
      <c r="D12" s="8" t="s">
        <v>3</v>
      </c>
      <c r="E12" s="1"/>
    </row>
    <row r="13" spans="1:5" ht="17.25" customHeight="1" x14ac:dyDescent="0.25">
      <c r="A13" s="1"/>
      <c r="B13" s="90" t="s">
        <v>25</v>
      </c>
      <c r="C13" s="9">
        <f>-'Fane 14. Bortfald'!E13</f>
        <v>0</v>
      </c>
      <c r="D13" s="8" t="s">
        <v>3</v>
      </c>
      <c r="E13" s="1"/>
    </row>
    <row r="14" spans="1:5" ht="17.25" customHeight="1" x14ac:dyDescent="0.25">
      <c r="A14" s="1"/>
      <c r="B14" s="90" t="s">
        <v>105</v>
      </c>
      <c r="C14" s="9">
        <f>'Fane 13. Tilknyttet virksomhed'!C14</f>
        <v>0</v>
      </c>
      <c r="D14" s="8" t="s">
        <v>3</v>
      </c>
      <c r="E14" s="1"/>
    </row>
    <row r="15" spans="1:5" ht="17.25" customHeight="1" x14ac:dyDescent="0.25">
      <c r="A15" s="1"/>
      <c r="B15" s="90" t="s">
        <v>106</v>
      </c>
      <c r="C15" s="9">
        <f>'Fane 13. Tilknyttet virksomhed'!E14</f>
        <v>0</v>
      </c>
      <c r="D15" s="8" t="s">
        <v>3</v>
      </c>
      <c r="E15" s="1"/>
    </row>
    <row r="16" spans="1:5" ht="17.25" customHeight="1" x14ac:dyDescent="0.25">
      <c r="A16" s="1"/>
      <c r="B16" s="90" t="s">
        <v>19</v>
      </c>
      <c r="C16" s="41">
        <f>SUM(C9)*'Fane 15. Nøgletal'!C16+SUM(C10:C15)*'Fane 15. Nøgletal'!C16</f>
        <v>1700746.4604508176</v>
      </c>
      <c r="D16" s="8" t="s">
        <v>3</v>
      </c>
      <c r="E16" s="1"/>
    </row>
    <row r="17" spans="1:5" ht="17.25" customHeight="1" x14ac:dyDescent="0.25">
      <c r="A17" s="1"/>
      <c r="B17" s="90" t="s">
        <v>10</v>
      </c>
      <c r="C17" s="41">
        <f>-SUM(C9,C10:C16)*'Fane 5. Individuelt eff. krav'!G9</f>
        <v>-235154.22094713477</v>
      </c>
      <c r="D17" s="8" t="s">
        <v>3</v>
      </c>
      <c r="E17" s="1"/>
    </row>
    <row r="18" spans="1:5" ht="17.25" customHeight="1" x14ac:dyDescent="0.25">
      <c r="A18" s="1"/>
      <c r="B18" s="90" t="s">
        <v>23</v>
      </c>
      <c r="C18" s="41">
        <f>-'Fane 4.1. Gen. krav - drift'!G54</f>
        <v>-118693.71526080089</v>
      </c>
      <c r="D18" s="8" t="s">
        <v>3</v>
      </c>
      <c r="E18" s="1"/>
    </row>
    <row r="19" spans="1:5" ht="17.25" customHeight="1" x14ac:dyDescent="0.25">
      <c r="A19" s="1"/>
      <c r="B19" s="90" t="s">
        <v>24</v>
      </c>
      <c r="C19" s="41">
        <f>-'Fane 4.2. Gen. krav - anlæg'!G55</f>
        <v>0</v>
      </c>
      <c r="D19" s="8" t="s">
        <v>3</v>
      </c>
      <c r="E19" s="47"/>
    </row>
    <row r="20" spans="1:5" ht="17.25" customHeight="1" x14ac:dyDescent="0.25">
      <c r="A20" s="1"/>
      <c r="B20" s="84" t="s">
        <v>21</v>
      </c>
      <c r="C20" s="10">
        <f>SUM(C9:C19)</f>
        <v>22395740.856554981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10922846.585596159</v>
      </c>
      <c r="D22" s="11" t="s">
        <v>3</v>
      </c>
      <c r="E22" s="1"/>
    </row>
    <row r="23" spans="1:5" ht="15" customHeight="1" x14ac:dyDescent="0.25">
      <c r="A23" s="1"/>
      <c r="B23" s="33" t="s">
        <v>74</v>
      </c>
      <c r="C23" s="28"/>
      <c r="D23" s="19"/>
      <c r="E23" s="1"/>
    </row>
    <row r="24" spans="1:5" ht="15" customHeight="1" x14ac:dyDescent="0.25">
      <c r="A24" s="1"/>
      <c r="B24" s="84"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90" t="s">
        <v>158</v>
      </c>
      <c r="C26" s="73">
        <f>'Fane 11.2. Engangstillæg'!C14</f>
        <v>0</v>
      </c>
      <c r="D26" s="8" t="s">
        <v>3</v>
      </c>
      <c r="E26" s="1"/>
    </row>
    <row r="27" spans="1:5" ht="15" customHeight="1" x14ac:dyDescent="0.25">
      <c r="A27" s="1"/>
      <c r="B27" s="90" t="s">
        <v>70</v>
      </c>
      <c r="C27" s="73">
        <f>'Fane 11.2. Engangstillæg'!E14</f>
        <v>0</v>
      </c>
      <c r="D27" s="8" t="s">
        <v>3</v>
      </c>
      <c r="E27" s="1"/>
    </row>
    <row r="28" spans="1:5" ht="15" customHeight="1" x14ac:dyDescent="0.25">
      <c r="A28" s="1"/>
      <c r="B28" s="90" t="s">
        <v>161</v>
      </c>
      <c r="C28" s="73">
        <f>-C26*('Fane 15. Nøgletal'!C33+'Fane 5. Individuelt eff. krav'!G9)</f>
        <v>0</v>
      </c>
      <c r="D28" s="8" t="s">
        <v>3</v>
      </c>
      <c r="E28" s="1"/>
    </row>
    <row r="29" spans="1:5" ht="15" customHeight="1" x14ac:dyDescent="0.25">
      <c r="A29" s="1"/>
      <c r="B29" s="90" t="s">
        <v>162</v>
      </c>
      <c r="C29" s="73">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-236444</v>
      </c>
      <c r="D32" s="11" t="s">
        <v>3</v>
      </c>
      <c r="E32" s="1"/>
    </row>
    <row r="33" spans="1:5" ht="15" customHeight="1" x14ac:dyDescent="0.25">
      <c r="A33" s="1"/>
      <c r="B33" s="33" t="s">
        <v>200</v>
      </c>
      <c r="C33" s="28"/>
      <c r="D33" s="19"/>
      <c r="E33" s="1"/>
    </row>
    <row r="34" spans="1:5" x14ac:dyDescent="0.25">
      <c r="A34" s="1"/>
      <c r="B34" s="31" t="s">
        <v>200</v>
      </c>
      <c r="C34" s="10">
        <f>'Fane 9. Korrektion af ØR2022'!E17</f>
        <v>-3781</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33078362.44215114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YsUSdqLhqMe86gG4lkHf6AyXVrNrpfyyV8OUzq8H7OYagGFJztt4LTqRGjFlqghXsReAYpDlJ1RpKG9OpibLw==" saltValue="WjDKJuFYk+AVDThupmBM1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5" t="s">
        <v>188</v>
      </c>
      <c r="C3" s="115"/>
      <c r="D3" s="1"/>
    </row>
    <row r="4" spans="1:4" ht="25.5" customHeight="1" x14ac:dyDescent="0.25">
      <c r="A4" s="1"/>
      <c r="B4" s="115"/>
      <c r="C4" s="11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3" t="s">
        <v>94</v>
      </c>
      <c r="C9" s="25">
        <v>1.2699999999999999E-2</v>
      </c>
      <c r="D9" s="1"/>
    </row>
    <row r="10" spans="1:4" x14ac:dyDescent="0.25">
      <c r="A10" s="1"/>
      <c r="B10" s="83" t="s">
        <v>95</v>
      </c>
      <c r="C10" s="25">
        <v>1.7500000000000002E-2</v>
      </c>
      <c r="D10" s="1"/>
    </row>
    <row r="11" spans="1:4" x14ac:dyDescent="0.25">
      <c r="A11" s="1"/>
      <c r="B11" s="83"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3"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3" t="s">
        <v>96</v>
      </c>
      <c r="C21" s="22">
        <v>9.1000000000000004E-3</v>
      </c>
      <c r="D21" s="1"/>
    </row>
    <row r="22" spans="1:4" x14ac:dyDescent="0.25">
      <c r="A22" s="1"/>
      <c r="B22" s="83" t="s">
        <v>118</v>
      </c>
      <c r="C22" s="22">
        <v>1.77E-2</v>
      </c>
      <c r="D22" s="1"/>
    </row>
    <row r="23" spans="1:4" x14ac:dyDescent="0.25">
      <c r="A23" s="1"/>
      <c r="B23" s="83" t="s">
        <v>119</v>
      </c>
      <c r="C23" s="22">
        <v>8.6999999999999994E-3</v>
      </c>
      <c r="D23" s="1"/>
    </row>
    <row r="24" spans="1:4" x14ac:dyDescent="0.25">
      <c r="A24" s="1"/>
      <c r="B24" s="83" t="s">
        <v>97</v>
      </c>
      <c r="C24" s="36">
        <v>2.8400000000000002E-2</v>
      </c>
      <c r="D24" s="1"/>
    </row>
    <row r="25" spans="1:4" x14ac:dyDescent="0.25">
      <c r="A25" s="1"/>
      <c r="B25" s="83" t="s">
        <v>120</v>
      </c>
      <c r="C25" s="36">
        <v>2.75E-2</v>
      </c>
      <c r="D25" s="1"/>
    </row>
    <row r="26" spans="1:4" x14ac:dyDescent="0.25">
      <c r="A26" s="1"/>
      <c r="B26" s="83"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3"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WVPwW+lTPZVu+UhwHCq+9oJBhwCOSRV1VBSm+SbH3WwagG2l3Uxf7zpA1z/NIxtldBmtnt5VzG0E1ZlVfoTLqQ==" saltValue="scTpEW37VeGIDSAPUD9XX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202</v>
      </c>
      <c r="C3" s="112"/>
      <c r="D3" s="112"/>
      <c r="E3" s="1"/>
    </row>
    <row r="4" spans="1:5" ht="15" customHeight="1" x14ac:dyDescent="0.25">
      <c r="A4" s="1"/>
      <c r="B4" s="112"/>
      <c r="C4" s="112"/>
      <c r="D4" s="112"/>
      <c r="E4" s="1"/>
    </row>
    <row r="5" spans="1:5" x14ac:dyDescent="0.25">
      <c r="A5" s="1"/>
      <c r="B5" s="113"/>
      <c r="C5" s="113"/>
      <c r="D5" s="113"/>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22395740.856554981</v>
      </c>
      <c r="D9" s="8" t="s">
        <v>3</v>
      </c>
      <c r="E9" s="1"/>
    </row>
    <row r="10" spans="1:5" ht="15" customHeight="1" x14ac:dyDescent="0.25">
      <c r="A10" s="1"/>
      <c r="B10" s="26" t="s">
        <v>19</v>
      </c>
      <c r="C10" s="7">
        <f>SUM(C9:C9)*'Fane 15. Nøgletal'!C16</f>
        <v>1809575.8612096424</v>
      </c>
      <c r="D10" s="8" t="s">
        <v>3</v>
      </c>
      <c r="E10" s="1"/>
    </row>
    <row r="11" spans="1:5" ht="15" customHeight="1" x14ac:dyDescent="0.25">
      <c r="A11" s="1"/>
      <c r="B11" s="26" t="s">
        <v>10</v>
      </c>
      <c r="C11" s="9">
        <f>-SUM(C9:C10)*'Fane 5. Individuelt eff. krav'!G9</f>
        <v>-250201.55077947286</v>
      </c>
      <c r="D11" s="8" t="s">
        <v>3</v>
      </c>
      <c r="E11" s="1"/>
    </row>
    <row r="12" spans="1:5" ht="15" customHeight="1" x14ac:dyDescent="0.25">
      <c r="A12" s="1"/>
      <c r="B12" s="26" t="s">
        <v>23</v>
      </c>
      <c r="C12" s="9">
        <f>-'Fane 4.1. Gen. krav - drift'!G59</f>
        <v>-125718.48410479612</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23829396.682880353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11784251.527312329</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-236444</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35377204.21019268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CEgdVxyaZgehBRBcQS4Ryn8aC7zviXcOknDTAM9BNmNTPruWhpl2LO2lYrz4nX5fT4otHH6+GYdnOXuRKLwkw==" saltValue="SF13S6xKTYGxw2Zo1H9nM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203</v>
      </c>
      <c r="C3" s="112"/>
      <c r="D3" s="112"/>
      <c r="E3" s="1"/>
    </row>
    <row r="4" spans="1:5" ht="15" customHeight="1" x14ac:dyDescent="0.25">
      <c r="A4" s="1"/>
      <c r="B4" s="112"/>
      <c r="C4" s="112"/>
      <c r="D4" s="112"/>
      <c r="E4" s="1"/>
    </row>
    <row r="5" spans="1:5" x14ac:dyDescent="0.25">
      <c r="A5" s="1"/>
      <c r="B5" s="113" t="s">
        <v>253</v>
      </c>
      <c r="C5" s="113"/>
      <c r="D5" s="113"/>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23829396.682880353</v>
      </c>
      <c r="D9" s="8" t="s">
        <v>3</v>
      </c>
      <c r="E9" s="1"/>
    </row>
    <row r="10" spans="1:5" ht="15" customHeight="1" x14ac:dyDescent="0.25">
      <c r="A10" s="1"/>
      <c r="B10" s="26" t="s">
        <v>19</v>
      </c>
      <c r="C10" s="7">
        <f>SUM(C9:C9)*'Fane 15. Nøgletal'!C16</f>
        <v>1925415.2519767324</v>
      </c>
      <c r="D10" s="8" t="s">
        <v>3</v>
      </c>
      <c r="E10" s="1"/>
    </row>
    <row r="11" spans="1:5" ht="15" customHeight="1" x14ac:dyDescent="0.25">
      <c r="A11" s="1"/>
      <c r="B11" s="26" t="s">
        <v>10</v>
      </c>
      <c r="C11" s="9">
        <f>-SUM(C9:C10)*'Fane 5. Individuelt eff. krav'!G9</f>
        <v>-266218.11898894323</v>
      </c>
      <c r="D11" s="8" t="s">
        <v>3</v>
      </c>
      <c r="E11" s="1"/>
    </row>
    <row r="12" spans="1:5" ht="15" customHeight="1" x14ac:dyDescent="0.25">
      <c r="A12" s="1"/>
      <c r="B12" s="26" t="s">
        <v>23</v>
      </c>
      <c r="C12" s="9">
        <f>-'Fane 4.1. Gen. krav - drift'!G64</f>
        <v>-133159.00686805439</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25355434.80900009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12455091.483519165</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37810526.292519256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ohGEWim8V2eL3zZmSdS0YyIFB5EqEk068fCtzFxVM7G7RauRwGXpYDWOxSgiyC26S3x7yG3hq5FcySWrBegAQ==" saltValue="GIjsXO5rWaMlpNhDbP6Qm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204</v>
      </c>
      <c r="C3" s="112"/>
      <c r="D3" s="112"/>
      <c r="E3" s="1"/>
      <c r="F3" s="1"/>
    </row>
    <row r="4" spans="1:6" ht="15" customHeight="1" x14ac:dyDescent="0.25">
      <c r="A4" s="1"/>
      <c r="B4" s="112"/>
      <c r="C4" s="112"/>
      <c r="D4" s="112"/>
      <c r="E4" s="1"/>
      <c r="F4" s="1"/>
    </row>
    <row r="5" spans="1:6" x14ac:dyDescent="0.25">
      <c r="A5" s="1"/>
      <c r="B5" s="113" t="s">
        <v>253</v>
      </c>
      <c r="C5" s="113"/>
      <c r="D5" s="113"/>
      <c r="E5" s="1"/>
      <c r="F5" s="1"/>
    </row>
    <row r="6" spans="1:6" x14ac:dyDescent="0.25">
      <c r="A6" s="1"/>
      <c r="B6" s="75"/>
      <c r="C6" s="75"/>
      <c r="D6" s="75"/>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25355434.80900009</v>
      </c>
      <c r="D9" s="8" t="s">
        <v>3</v>
      </c>
      <c r="E9" s="1"/>
      <c r="F9" s="1"/>
    </row>
    <row r="10" spans="1:6" ht="15" customHeight="1" x14ac:dyDescent="0.25">
      <c r="A10" s="1"/>
      <c r="B10" s="26" t="s">
        <v>19</v>
      </c>
      <c r="C10" s="7">
        <f>SUM(C9:C9)*'Fane 15. Nøgletal'!C16</f>
        <v>2048719.1325672071</v>
      </c>
      <c r="D10" s="8" t="s">
        <v>3</v>
      </c>
      <c r="E10" s="1"/>
      <c r="F10" s="1"/>
    </row>
    <row r="11" spans="1:6" ht="15" customHeight="1" x14ac:dyDescent="0.25">
      <c r="A11" s="1"/>
      <c r="B11" s="26" t="s">
        <v>10</v>
      </c>
      <c r="C11" s="9">
        <f>-SUM(C9:C10)*'Fane 5. Individuelt eff. krav'!G9</f>
        <v>-283266.76712919911</v>
      </c>
      <c r="D11" s="8" t="s">
        <v>3</v>
      </c>
      <c r="E11" s="1"/>
      <c r="F11" s="1"/>
    </row>
    <row r="12" spans="1:6" ht="15" customHeight="1" x14ac:dyDescent="0.25">
      <c r="A12" s="1"/>
      <c r="B12" s="26" t="s">
        <v>23</v>
      </c>
      <c r="C12" s="9">
        <f>-'Fane 4.1. Gen. krav - drift'!G69</f>
        <v>-141039.88953053331</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26979847.284907568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13461320.054587513</v>
      </c>
      <c r="D16" s="11" t="s">
        <v>3</v>
      </c>
      <c r="E16" s="1"/>
      <c r="F16" s="1"/>
    </row>
    <row r="17" spans="1:6" ht="15" customHeight="1" x14ac:dyDescent="0.25">
      <c r="A17" s="1"/>
      <c r="B17" s="33" t="s">
        <v>74</v>
      </c>
      <c r="C17" s="28"/>
      <c r="D17" s="19"/>
      <c r="E17" s="1"/>
      <c r="F17" s="1"/>
    </row>
    <row r="18" spans="1:6" ht="15" customHeight="1" x14ac:dyDescent="0.25">
      <c r="A18" s="1"/>
      <c r="B18" s="84"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40441167.339495078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T+BFsQEMqf9dMdRmv9g1KS9CcDVm76I74S+CKXM8r+XKb2HGHQpjC3CSjtett+lbqI3+F6cD28jvEUQigJw5MA==" saltValue="zxPG5Z5xpZSYD973mofc0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5" t="s">
        <v>205</v>
      </c>
      <c r="C3" s="115"/>
      <c r="D3" s="115"/>
      <c r="E3" s="1"/>
    </row>
    <row r="4" spans="1:5"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20696917.653737038</v>
      </c>
      <c r="D9" s="8" t="s">
        <v>3</v>
      </c>
      <c r="E9" s="1"/>
    </row>
    <row r="10" spans="1:5" x14ac:dyDescent="0.25">
      <c r="A10" s="1"/>
      <c r="B10" s="90" t="s">
        <v>36</v>
      </c>
      <c r="C10" s="7">
        <v>0</v>
      </c>
      <c r="D10" s="8" t="s">
        <v>3</v>
      </c>
      <c r="E10" s="1"/>
    </row>
    <row r="11" spans="1:5" x14ac:dyDescent="0.25">
      <c r="A11" s="1"/>
      <c r="B11" s="90" t="s">
        <v>37</v>
      </c>
      <c r="C11" s="9">
        <v>178141.84080000001</v>
      </c>
      <c r="D11" s="8" t="s">
        <v>3</v>
      </c>
      <c r="E11" s="1"/>
    </row>
    <row r="12" spans="1:5" x14ac:dyDescent="0.25">
      <c r="A12" s="1"/>
      <c r="B12" s="90" t="s">
        <v>26</v>
      </c>
      <c r="C12" s="9">
        <v>0</v>
      </c>
      <c r="D12" s="8" t="s">
        <v>3</v>
      </c>
      <c r="E12" s="1"/>
    </row>
    <row r="13" spans="1:5" x14ac:dyDescent="0.25">
      <c r="A13" s="1"/>
      <c r="B13" s="90" t="s">
        <v>25</v>
      </c>
      <c r="C13" s="9">
        <v>0</v>
      </c>
      <c r="D13" s="8" t="s">
        <v>3</v>
      </c>
      <c r="E13" s="1"/>
    </row>
    <row r="14" spans="1:5" x14ac:dyDescent="0.25">
      <c r="A14" s="1"/>
      <c r="B14" s="90" t="s">
        <v>105</v>
      </c>
      <c r="C14" s="9">
        <v>0</v>
      </c>
      <c r="D14" s="8" t="s">
        <v>3</v>
      </c>
      <c r="E14" s="1"/>
    </row>
    <row r="15" spans="1:5" x14ac:dyDescent="0.25">
      <c r="A15" s="1"/>
      <c r="B15" s="90" t="s">
        <v>106</v>
      </c>
      <c r="C15" s="9">
        <v>0</v>
      </c>
      <c r="D15" s="8" t="s">
        <v>3</v>
      </c>
      <c r="E15" s="1"/>
    </row>
    <row r="16" spans="1:5" x14ac:dyDescent="0.25">
      <c r="A16" s="1"/>
      <c r="B16" s="90" t="s">
        <v>19</v>
      </c>
      <c r="C16" s="41">
        <v>74641.677789812224</v>
      </c>
      <c r="D16" s="8" t="s">
        <v>3</v>
      </c>
      <c r="E16" s="1"/>
    </row>
    <row r="17" spans="1:5" x14ac:dyDescent="0.25">
      <c r="A17" s="1"/>
      <c r="B17" s="90" t="s">
        <v>10</v>
      </c>
      <c r="C17" s="41">
        <v>-418994.02344653697</v>
      </c>
      <c r="D17" s="8" t="s">
        <v>3</v>
      </c>
      <c r="E17" s="1"/>
    </row>
    <row r="18" spans="1:5" x14ac:dyDescent="0.25">
      <c r="A18" s="1"/>
      <c r="B18" s="90" t="s">
        <v>23</v>
      </c>
      <c r="C18" s="41">
        <v>-112061.469263887</v>
      </c>
      <c r="D18" s="8" t="s">
        <v>3</v>
      </c>
      <c r="E18" s="1"/>
    </row>
    <row r="19" spans="1:5" x14ac:dyDescent="0.25">
      <c r="A19" s="1"/>
      <c r="B19" s="90" t="s">
        <v>24</v>
      </c>
      <c r="C19" s="41">
        <v>-258539.78330432661</v>
      </c>
      <c r="D19" s="8" t="s">
        <v>3</v>
      </c>
      <c r="E19" s="47"/>
    </row>
    <row r="20" spans="1:5" x14ac:dyDescent="0.25">
      <c r="A20" s="1"/>
      <c r="B20" s="84" t="s">
        <v>21</v>
      </c>
      <c r="C20" s="10">
        <v>20160105.896312099</v>
      </c>
      <c r="D20" s="11" t="s">
        <v>3</v>
      </c>
      <c r="E20" s="1"/>
    </row>
    <row r="21" spans="1:5" x14ac:dyDescent="0.25">
      <c r="A21" s="1"/>
      <c r="B21" s="33" t="s">
        <v>12</v>
      </c>
      <c r="C21" s="28"/>
      <c r="D21" s="19"/>
      <c r="E21" s="1"/>
    </row>
    <row r="22" spans="1:5" x14ac:dyDescent="0.25">
      <c r="A22" s="1"/>
      <c r="B22" s="31" t="s">
        <v>12</v>
      </c>
      <c r="C22" s="10">
        <v>9116600.0058830101</v>
      </c>
      <c r="D22" s="11" t="s">
        <v>3</v>
      </c>
      <c r="E22" s="1"/>
    </row>
    <row r="23" spans="1:5" x14ac:dyDescent="0.25">
      <c r="A23" s="1"/>
      <c r="B23" s="33" t="s">
        <v>74</v>
      </c>
      <c r="C23" s="28"/>
      <c r="D23" s="19"/>
      <c r="E23" s="1"/>
    </row>
    <row r="24" spans="1:5" x14ac:dyDescent="0.25">
      <c r="A24" s="1"/>
      <c r="B24" s="84" t="s">
        <v>74</v>
      </c>
      <c r="C24" s="10">
        <v>0</v>
      </c>
      <c r="D24" s="11" t="s">
        <v>3</v>
      </c>
      <c r="E24" s="1"/>
    </row>
    <row r="25" spans="1:5" x14ac:dyDescent="0.25">
      <c r="A25" s="1"/>
      <c r="B25" s="44" t="s">
        <v>73</v>
      </c>
      <c r="C25" s="42"/>
      <c r="D25" s="43"/>
      <c r="E25" s="1"/>
    </row>
    <row r="26" spans="1:5" x14ac:dyDescent="0.25">
      <c r="A26" s="1"/>
      <c r="B26" s="90" t="s">
        <v>158</v>
      </c>
      <c r="C26" s="69">
        <v>0</v>
      </c>
      <c r="D26" s="8" t="s">
        <v>3</v>
      </c>
      <c r="E26" s="1"/>
    </row>
    <row r="27" spans="1:5" x14ac:dyDescent="0.25">
      <c r="A27" s="1"/>
      <c r="B27" s="90" t="s">
        <v>70</v>
      </c>
      <c r="C27" s="69">
        <v>0</v>
      </c>
      <c r="D27" s="8" t="s">
        <v>3</v>
      </c>
      <c r="E27" s="1"/>
    </row>
    <row r="28" spans="1:5" x14ac:dyDescent="0.25">
      <c r="A28" s="1"/>
      <c r="B28" s="90" t="s">
        <v>161</v>
      </c>
      <c r="C28" s="69">
        <v>0</v>
      </c>
      <c r="D28" s="8" t="s">
        <v>3</v>
      </c>
      <c r="E28" s="1"/>
    </row>
    <row r="29" spans="1:5" x14ac:dyDescent="0.25">
      <c r="A29" s="1"/>
      <c r="B29" s="90"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-311668.61486622505</v>
      </c>
      <c r="D32" s="11" t="s">
        <v>3</v>
      </c>
      <c r="E32" s="1"/>
    </row>
    <row r="33" spans="1:5" x14ac:dyDescent="0.25">
      <c r="A33" s="1"/>
      <c r="B33" s="33" t="s">
        <v>266</v>
      </c>
      <c r="C33" s="28"/>
      <c r="D33" s="19"/>
      <c r="E33" s="1"/>
    </row>
    <row r="34" spans="1:5" x14ac:dyDescent="0.25">
      <c r="A34" s="1"/>
      <c r="B34" s="31" t="s">
        <v>266</v>
      </c>
      <c r="C34" s="10">
        <v>-3750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28961287.287328884</v>
      </c>
      <c r="D37" s="30" t="s">
        <v>3</v>
      </c>
      <c r="E37" s="1"/>
    </row>
    <row r="38" spans="1:5" ht="30" customHeight="1" x14ac:dyDescent="0.25">
      <c r="A38" s="1"/>
      <c r="B38" s="114" t="s">
        <v>268</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Qj0NzWrEex3XD0o1Air9sIYVDtgOpAv0OaPrqlOsSBHCl3yCJP4GY/N78jjsMIyhSMMU09bM4+OXIqnul80+w==" saltValue="Q1qFLh9pFqiG/hMlo4AKp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5" t="s">
        <v>91</v>
      </c>
      <c r="C2" s="115"/>
      <c r="D2" s="115"/>
      <c r="E2" s="115"/>
      <c r="F2" s="115"/>
      <c r="G2" s="115"/>
      <c r="H2" s="115"/>
      <c r="I2" s="1"/>
    </row>
    <row r="3" spans="1:9" ht="28.5" customHeight="1" x14ac:dyDescent="0.25">
      <c r="A3" s="1"/>
      <c r="B3" s="115"/>
      <c r="C3" s="115"/>
      <c r="D3" s="115"/>
      <c r="E3" s="115"/>
      <c r="F3" s="115"/>
      <c r="G3" s="115"/>
      <c r="H3" s="115"/>
      <c r="I3" s="1"/>
    </row>
    <row r="4" spans="1:9" x14ac:dyDescent="0.25">
      <c r="A4" s="1"/>
      <c r="B4" s="119" t="s">
        <v>46</v>
      </c>
      <c r="C4" s="120"/>
      <c r="D4" s="120"/>
      <c r="E4" s="120"/>
      <c r="F4" s="120"/>
      <c r="G4" s="120"/>
      <c r="H4" s="121"/>
      <c r="I4" s="1"/>
    </row>
    <row r="5" spans="1:9" x14ac:dyDescent="0.25">
      <c r="A5" s="1"/>
      <c r="B5" s="122" t="s">
        <v>38</v>
      </c>
      <c r="C5" s="123"/>
      <c r="D5" s="123"/>
      <c r="E5" s="123"/>
      <c r="F5" s="124"/>
      <c r="G5" s="63">
        <v>5844966.4141154606</v>
      </c>
      <c r="H5" s="14" t="s">
        <v>3</v>
      </c>
      <c r="I5" s="1"/>
    </row>
    <row r="6" spans="1:9" x14ac:dyDescent="0.25">
      <c r="A6" s="1"/>
      <c r="B6" s="116" t="s">
        <v>102</v>
      </c>
      <c r="C6" s="117"/>
      <c r="D6" s="117"/>
      <c r="E6" s="117"/>
      <c r="F6" s="118"/>
      <c r="G6" s="66">
        <v>0</v>
      </c>
      <c r="H6" s="14" t="s">
        <v>3</v>
      </c>
      <c r="I6" s="1"/>
    </row>
    <row r="7" spans="1:9" x14ac:dyDescent="0.25">
      <c r="A7" s="1"/>
      <c r="B7" s="122" t="s">
        <v>39</v>
      </c>
      <c r="C7" s="123"/>
      <c r="D7" s="123"/>
      <c r="E7" s="123"/>
      <c r="F7" s="124"/>
      <c r="G7" s="23">
        <f>SUM(G5:G6)*'Fane 15. Nøgletal'!C33</f>
        <v>116899.32828230922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9" t="s">
        <v>47</v>
      </c>
      <c r="C10" s="120"/>
      <c r="D10" s="120"/>
      <c r="E10" s="120"/>
      <c r="F10" s="120"/>
      <c r="G10" s="120"/>
      <c r="H10" s="121"/>
      <c r="I10" s="1"/>
    </row>
    <row r="11" spans="1:9" x14ac:dyDescent="0.25">
      <c r="A11" s="1"/>
      <c r="B11" s="122" t="s">
        <v>40</v>
      </c>
      <c r="C11" s="123"/>
      <c r="D11" s="123"/>
      <c r="E11" s="123"/>
      <c r="F11" s="124"/>
      <c r="G11" s="23">
        <f>(G5-G7)*(1+'Fane 15. Nøgletal'!C10)</f>
        <v>5828308.259835232</v>
      </c>
      <c r="H11" s="14" t="s">
        <v>3</v>
      </c>
      <c r="I11" s="1"/>
    </row>
    <row r="12" spans="1:9" ht="15" customHeight="1" x14ac:dyDescent="0.25">
      <c r="A12" s="1"/>
      <c r="B12" s="122" t="s">
        <v>103</v>
      </c>
      <c r="C12" s="123"/>
      <c r="D12" s="123"/>
      <c r="E12" s="123"/>
      <c r="F12" s="124"/>
      <c r="G12" s="66">
        <v>-7878.4385038286473</v>
      </c>
      <c r="H12" s="14" t="s">
        <v>3</v>
      </c>
      <c r="I12" s="1"/>
    </row>
    <row r="13" spans="1:9" x14ac:dyDescent="0.25">
      <c r="A13" s="1"/>
      <c r="B13" s="116" t="s">
        <v>100</v>
      </c>
      <c r="C13" s="117"/>
      <c r="D13" s="117"/>
      <c r="E13" s="117"/>
      <c r="F13" s="118"/>
      <c r="G13" s="66">
        <v>0</v>
      </c>
      <c r="H13" s="14" t="s">
        <v>3</v>
      </c>
      <c r="I13" s="1"/>
    </row>
    <row r="14" spans="1:9" x14ac:dyDescent="0.25">
      <c r="A14" s="1"/>
      <c r="B14" s="125" t="s">
        <v>244</v>
      </c>
      <c r="C14" s="126"/>
      <c r="D14" s="126"/>
      <c r="E14" s="126"/>
      <c r="F14" s="127"/>
      <c r="G14" s="66">
        <v>0</v>
      </c>
      <c r="H14" s="14" t="s">
        <v>3</v>
      </c>
      <c r="I14" s="1"/>
    </row>
    <row r="15" spans="1:9" x14ac:dyDescent="0.25">
      <c r="A15" s="1"/>
      <c r="B15" s="122" t="s">
        <v>41</v>
      </c>
      <c r="C15" s="123"/>
      <c r="D15" s="123"/>
      <c r="E15" s="123"/>
      <c r="F15" s="124"/>
      <c r="G15" s="23">
        <f>SUM(G11:G14)*'Fane 15. Nøgletal'!C33</f>
        <v>116408.59642662806</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9" t="s">
        <v>48</v>
      </c>
      <c r="C18" s="120"/>
      <c r="D18" s="120"/>
      <c r="E18" s="120"/>
      <c r="F18" s="120"/>
      <c r="G18" s="120"/>
      <c r="H18" s="121"/>
      <c r="I18" s="1"/>
    </row>
    <row r="19" spans="1:9" x14ac:dyDescent="0.25">
      <c r="A19" s="1"/>
      <c r="B19" s="122" t="s">
        <v>42</v>
      </c>
      <c r="C19" s="123"/>
      <c r="D19" s="123"/>
      <c r="E19" s="123"/>
      <c r="F19" s="124"/>
      <c r="G19" s="23">
        <f>(SUM(G11:G12,G14)-(G15))*(1+'Fane 15. Nøgletal'!C10)</f>
        <v>5803841.5963406097</v>
      </c>
      <c r="H19" s="14" t="s">
        <v>3</v>
      </c>
      <c r="I19" s="1"/>
    </row>
    <row r="20" spans="1:9" x14ac:dyDescent="0.25">
      <c r="A20" s="1"/>
      <c r="B20" s="125" t="s">
        <v>245</v>
      </c>
      <c r="C20" s="126"/>
      <c r="D20" s="126"/>
      <c r="E20" s="126"/>
      <c r="F20" s="127"/>
      <c r="G20" s="66">
        <v>0</v>
      </c>
      <c r="H20" s="14" t="s">
        <v>3</v>
      </c>
      <c r="I20" s="1"/>
    </row>
    <row r="21" spans="1:9" x14ac:dyDescent="0.25">
      <c r="A21" s="1"/>
      <c r="B21" s="122" t="s">
        <v>43</v>
      </c>
      <c r="C21" s="123"/>
      <c r="D21" s="123"/>
      <c r="E21" s="123"/>
      <c r="F21" s="124"/>
      <c r="G21" s="23">
        <f>SUM(G19:G20)*'Fane 15. Nøgletal'!C33</f>
        <v>116076.8319268122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9" t="s">
        <v>49</v>
      </c>
      <c r="C24" s="120"/>
      <c r="D24" s="120"/>
      <c r="E24" s="120"/>
      <c r="F24" s="120"/>
      <c r="G24" s="120"/>
      <c r="H24" s="121"/>
      <c r="I24" s="1"/>
    </row>
    <row r="25" spans="1:9" x14ac:dyDescent="0.25">
      <c r="A25" s="1"/>
      <c r="B25" s="122" t="s">
        <v>44</v>
      </c>
      <c r="C25" s="123"/>
      <c r="D25" s="123"/>
      <c r="E25" s="123"/>
      <c r="F25" s="124"/>
      <c r="G25" s="23">
        <f>(G19+G20-G21)*(1+'Fane 15. Nøgletal'!C12)</f>
        <v>5799813.7302727494</v>
      </c>
      <c r="H25" s="14" t="s">
        <v>3</v>
      </c>
      <c r="I25" s="1"/>
    </row>
    <row r="26" spans="1:9" x14ac:dyDescent="0.25">
      <c r="A26" s="1"/>
      <c r="B26" s="125" t="s">
        <v>246</v>
      </c>
      <c r="C26" s="126"/>
      <c r="D26" s="126"/>
      <c r="E26" s="126"/>
      <c r="F26" s="127"/>
      <c r="G26" s="66">
        <v>0</v>
      </c>
      <c r="H26" s="14" t="s">
        <v>3</v>
      </c>
      <c r="I26" s="1"/>
    </row>
    <row r="27" spans="1:9" x14ac:dyDescent="0.25">
      <c r="A27" s="1"/>
      <c r="B27" s="122" t="s">
        <v>45</v>
      </c>
      <c r="C27" s="123"/>
      <c r="D27" s="123"/>
      <c r="E27" s="123"/>
      <c r="F27" s="124"/>
      <c r="G27" s="23">
        <f>(G25+G26)*'Fane 15. Nøgletal'!C33</f>
        <v>115996.27460545499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9" t="s">
        <v>52</v>
      </c>
      <c r="C30" s="120"/>
      <c r="D30" s="120"/>
      <c r="E30" s="120"/>
      <c r="F30" s="120"/>
      <c r="G30" s="120"/>
      <c r="H30" s="121"/>
      <c r="I30" s="1"/>
    </row>
    <row r="31" spans="1:9" x14ac:dyDescent="0.25">
      <c r="A31" s="1"/>
      <c r="B31" s="122" t="s">
        <v>53</v>
      </c>
      <c r="C31" s="123"/>
      <c r="D31" s="123"/>
      <c r="E31" s="123"/>
      <c r="F31" s="124"/>
      <c r="G31" s="23">
        <f>(G25+G26-G27)*(1+'Fane 15. Nøgletal'!C12)</f>
        <v>5795788.6595439408</v>
      </c>
      <c r="H31" s="14" t="s">
        <v>3</v>
      </c>
      <c r="I31" s="1"/>
    </row>
    <row r="32" spans="1:9" x14ac:dyDescent="0.25">
      <c r="A32" s="1"/>
      <c r="B32" s="122" t="s">
        <v>243</v>
      </c>
      <c r="C32" s="123"/>
      <c r="D32" s="123"/>
      <c r="E32" s="123"/>
      <c r="F32" s="124"/>
      <c r="G32" s="66">
        <v>0</v>
      </c>
      <c r="H32" s="14" t="s">
        <v>3</v>
      </c>
      <c r="I32" s="1"/>
    </row>
    <row r="33" spans="1:9" x14ac:dyDescent="0.25">
      <c r="A33" s="1"/>
      <c r="B33" s="122" t="s">
        <v>54</v>
      </c>
      <c r="C33" s="123"/>
      <c r="D33" s="123"/>
      <c r="E33" s="123"/>
      <c r="F33" s="124"/>
      <c r="G33" s="23">
        <f>(G31+G32)*'Fane 15. Nøgletal'!C33</f>
        <v>115915.77319087881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9" t="s">
        <v>126</v>
      </c>
      <c r="C36" s="120"/>
      <c r="D36" s="120"/>
      <c r="E36" s="120"/>
      <c r="F36" s="120"/>
      <c r="G36" s="120"/>
      <c r="H36" s="121"/>
      <c r="I36" s="1"/>
    </row>
    <row r="37" spans="1:9" x14ac:dyDescent="0.25">
      <c r="A37" s="1"/>
      <c r="B37" s="122" t="s">
        <v>68</v>
      </c>
      <c r="C37" s="123"/>
      <c r="D37" s="123"/>
      <c r="E37" s="123"/>
      <c r="F37" s="124"/>
      <c r="G37" s="23">
        <f>(G31+G32-G33)*(1+'Fane 15. Nøgletal'!C14)</f>
        <v>5698616.4668780267</v>
      </c>
      <c r="H37" s="14" t="s">
        <v>3</v>
      </c>
      <c r="I37" s="1"/>
    </row>
    <row r="38" spans="1:9" x14ac:dyDescent="0.25">
      <c r="A38" s="1"/>
      <c r="B38" s="122" t="s">
        <v>242</v>
      </c>
      <c r="C38" s="123"/>
      <c r="D38" s="123"/>
      <c r="E38" s="123"/>
      <c r="F38" s="124"/>
      <c r="G38" s="66">
        <v>0</v>
      </c>
      <c r="H38" s="14" t="s">
        <v>3</v>
      </c>
      <c r="I38" s="1"/>
    </row>
    <row r="39" spans="1:9" x14ac:dyDescent="0.25">
      <c r="A39" s="1"/>
      <c r="B39" s="122" t="s">
        <v>128</v>
      </c>
      <c r="C39" s="123"/>
      <c r="D39" s="123"/>
      <c r="E39" s="123"/>
      <c r="F39" s="124"/>
      <c r="G39" s="23">
        <f>(G37+G38)*'Fane 15. Nøgletal'!C33</f>
        <v>113972.32933756054</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9" t="s">
        <v>127</v>
      </c>
      <c r="C42" s="120"/>
      <c r="D42" s="120"/>
      <c r="E42" s="120"/>
      <c r="F42" s="120"/>
      <c r="G42" s="120"/>
      <c r="H42" s="121"/>
      <c r="I42" s="1"/>
    </row>
    <row r="43" spans="1:9" x14ac:dyDescent="0.25">
      <c r="A43" s="1"/>
      <c r="B43" s="122" t="s">
        <v>155</v>
      </c>
      <c r="C43" s="123"/>
      <c r="D43" s="123"/>
      <c r="E43" s="123"/>
      <c r="F43" s="124"/>
      <c r="G43" s="23">
        <f>(G37+G38-G39)*(1+'Fane 15. Nøgletal'!C14)</f>
        <v>5603073.4631943498</v>
      </c>
      <c r="H43" s="14" t="s">
        <v>3</v>
      </c>
      <c r="I43" s="1"/>
    </row>
    <row r="44" spans="1:9" x14ac:dyDescent="0.25">
      <c r="A44" s="1"/>
      <c r="B44" s="128" t="s">
        <v>157</v>
      </c>
      <c r="C44" s="129"/>
      <c r="D44" s="129"/>
      <c r="E44" s="129"/>
      <c r="F44" s="130"/>
      <c r="G44" s="66">
        <v>0</v>
      </c>
      <c r="H44" s="14" t="s">
        <v>3</v>
      </c>
      <c r="I44" s="1"/>
    </row>
    <row r="45" spans="1:9" x14ac:dyDescent="0.25">
      <c r="A45" s="1"/>
      <c r="B45" s="122" t="s">
        <v>129</v>
      </c>
      <c r="C45" s="123"/>
      <c r="D45" s="123"/>
      <c r="E45" s="123"/>
      <c r="F45" s="124"/>
      <c r="G45" s="23">
        <f>SUM(G43:G44)*'Fane 15. Nøgletal'!C33</f>
        <v>112061.469263887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9" t="s">
        <v>192</v>
      </c>
      <c r="C51" s="120"/>
      <c r="D51" s="120"/>
      <c r="E51" s="120"/>
      <c r="F51" s="120"/>
      <c r="G51" s="120"/>
      <c r="H51" s="121"/>
      <c r="I51" s="1"/>
    </row>
    <row r="52" spans="1:9" x14ac:dyDescent="0.25">
      <c r="A52" s="1"/>
      <c r="B52" s="122" t="s">
        <v>154</v>
      </c>
      <c r="C52" s="123"/>
      <c r="D52" s="123"/>
      <c r="E52" s="123"/>
      <c r="F52" s="124"/>
      <c r="G52" s="23">
        <f>(G43+G44-G45)*(1+'Fane 15. Nøgletal'!C16)</f>
        <v>5934685.7630400443</v>
      </c>
      <c r="H52" s="14" t="s">
        <v>3</v>
      </c>
      <c r="I52" s="1"/>
    </row>
    <row r="53" spans="1:9" x14ac:dyDescent="0.25">
      <c r="A53" s="1"/>
      <c r="B53" s="80" t="s">
        <v>194</v>
      </c>
      <c r="C53" s="81"/>
      <c r="D53" s="81"/>
      <c r="E53" s="81"/>
      <c r="F53" s="82"/>
      <c r="G53" s="66">
        <f>('Fane 2.1. Økonomisk ramme 2024'!C10+'Fane 2.1. Økonomisk ramme 2024'!C12+'Fane 2.1. Økonomisk ramme 2024'!C14)*(1+'Fane 15. Nøgletal'!C16)</f>
        <v>0</v>
      </c>
      <c r="H53" s="14" t="s">
        <v>3</v>
      </c>
      <c r="I53" s="1"/>
    </row>
    <row r="54" spans="1:9" x14ac:dyDescent="0.25">
      <c r="A54" s="1"/>
      <c r="B54" s="122" t="s">
        <v>210</v>
      </c>
      <c r="C54" s="123"/>
      <c r="D54" s="123"/>
      <c r="E54" s="123"/>
      <c r="F54" s="124"/>
      <c r="G54" s="23">
        <f>(G52)*'Fane 15. Nøgletal'!C33+(G53)*'Fane 15. Nøgletal'!C33</f>
        <v>118693.71526080089</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9" t="s">
        <v>193</v>
      </c>
      <c r="C57" s="120"/>
      <c r="D57" s="120"/>
      <c r="E57" s="120"/>
      <c r="F57" s="120"/>
      <c r="G57" s="120"/>
      <c r="H57" s="121"/>
      <c r="I57" s="1"/>
    </row>
    <row r="58" spans="1:9" x14ac:dyDescent="0.25">
      <c r="A58" s="1"/>
      <c r="B58" s="80" t="s">
        <v>212</v>
      </c>
      <c r="C58" s="81"/>
      <c r="D58" s="81"/>
      <c r="E58" s="81"/>
      <c r="F58" s="82"/>
      <c r="G58" s="23">
        <f>(G52+G53-G54)*(1+'Fane 15. Nøgletal'!C16)</f>
        <v>6285924.2052398063</v>
      </c>
      <c r="H58" s="14" t="s">
        <v>3</v>
      </c>
      <c r="I58" s="1"/>
    </row>
    <row r="59" spans="1:9" x14ac:dyDescent="0.25">
      <c r="A59" s="1"/>
      <c r="B59" s="80" t="s">
        <v>211</v>
      </c>
      <c r="C59" s="81"/>
      <c r="D59" s="81"/>
      <c r="E59" s="81"/>
      <c r="F59" s="82"/>
      <c r="G59" s="23">
        <f>(G58)*'Fane 15. Nøgletal'!C33</f>
        <v>125718.48410479612</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9" t="s">
        <v>256</v>
      </c>
      <c r="C62" s="120"/>
      <c r="D62" s="120"/>
      <c r="E62" s="120"/>
      <c r="F62" s="120"/>
      <c r="G62" s="120"/>
      <c r="H62" s="121"/>
      <c r="I62" s="1"/>
    </row>
    <row r="63" spans="1:9" x14ac:dyDescent="0.25">
      <c r="A63" s="1"/>
      <c r="B63" s="80" t="s">
        <v>213</v>
      </c>
      <c r="C63" s="81"/>
      <c r="D63" s="81"/>
      <c r="E63" s="81"/>
      <c r="F63" s="82"/>
      <c r="G63" s="23">
        <f>(G58-G59)*(1+'Fane 15. Nøgletal'!C16)</f>
        <v>6657950.3434027191</v>
      </c>
      <c r="H63" s="14" t="s">
        <v>3</v>
      </c>
      <c r="I63" s="1"/>
    </row>
    <row r="64" spans="1:9" x14ac:dyDescent="0.25">
      <c r="A64" s="1"/>
      <c r="B64" s="80" t="s">
        <v>214</v>
      </c>
      <c r="C64" s="81"/>
      <c r="D64" s="81"/>
      <c r="E64" s="81"/>
      <c r="F64" s="82"/>
      <c r="G64" s="23">
        <f>(G63)*'Fane 15. Nøgletal'!C33</f>
        <v>133159.00686805439</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9" t="s">
        <v>257</v>
      </c>
      <c r="C67" s="120"/>
      <c r="D67" s="120"/>
      <c r="E67" s="120"/>
      <c r="F67" s="120"/>
      <c r="G67" s="120"/>
      <c r="H67" s="121"/>
      <c r="I67" s="1"/>
    </row>
    <row r="68" spans="1:9" x14ac:dyDescent="0.25">
      <c r="A68" s="1"/>
      <c r="B68" s="80" t="s">
        <v>213</v>
      </c>
      <c r="C68" s="81"/>
      <c r="D68" s="81"/>
      <c r="E68" s="81"/>
      <c r="F68" s="82"/>
      <c r="G68" s="23">
        <f>(G63-G64)*(1+'Fane 15. Nøgletal'!C16)</f>
        <v>7051994.4765266655</v>
      </c>
      <c r="H68" s="14" t="s">
        <v>3</v>
      </c>
      <c r="I68" s="1"/>
    </row>
    <row r="69" spans="1:9" x14ac:dyDescent="0.25">
      <c r="A69" s="1"/>
      <c r="B69" s="80" t="s">
        <v>214</v>
      </c>
      <c r="C69" s="81"/>
      <c r="D69" s="81"/>
      <c r="E69" s="81"/>
      <c r="F69" s="82"/>
      <c r="G69" s="23">
        <f>(G68)*'Fane 15. Nøgletal'!C33</f>
        <v>141039.88953053331</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ggD3XZ0VDsJC5DqPsdSicy/n32lPkXISUmPi+iUOG/YCohBOhhcilZzz5NZlXs5BjtlF3LtgJayQsZ8Lk99XIA==" saltValue="qSlq95FOo5R8ExHtVKLgD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1" t="s">
        <v>92</v>
      </c>
      <c r="C1" s="131"/>
      <c r="D1" s="131"/>
      <c r="E1" s="131"/>
      <c r="F1" s="131"/>
      <c r="G1" s="131"/>
      <c r="H1" s="131"/>
      <c r="I1" s="1"/>
    </row>
    <row r="2" spans="1:9" ht="15" customHeight="1" x14ac:dyDescent="0.25">
      <c r="A2" s="1"/>
      <c r="B2" s="131"/>
      <c r="C2" s="131"/>
      <c r="D2" s="131"/>
      <c r="E2" s="131"/>
      <c r="F2" s="131"/>
      <c r="G2" s="131"/>
      <c r="H2" s="131"/>
      <c r="I2" s="1"/>
    </row>
    <row r="3" spans="1:9" ht="15" customHeight="1" x14ac:dyDescent="0.25">
      <c r="A3" s="1"/>
      <c r="B3" s="132"/>
      <c r="C3" s="132"/>
      <c r="D3" s="132"/>
      <c r="E3" s="132"/>
      <c r="F3" s="132"/>
      <c r="G3" s="132"/>
      <c r="H3" s="132"/>
      <c r="I3" s="1"/>
    </row>
    <row r="4" spans="1:9" x14ac:dyDescent="0.25">
      <c r="A4" s="1"/>
      <c r="B4" s="119" t="s">
        <v>50</v>
      </c>
      <c r="C4" s="120"/>
      <c r="D4" s="120"/>
      <c r="E4" s="120"/>
      <c r="F4" s="120"/>
      <c r="G4" s="120"/>
      <c r="H4" s="121"/>
      <c r="I4" s="1"/>
    </row>
    <row r="5" spans="1:9" x14ac:dyDescent="0.25">
      <c r="A5" s="1"/>
      <c r="B5" s="122" t="s">
        <v>55</v>
      </c>
      <c r="C5" s="123"/>
      <c r="D5" s="123"/>
      <c r="E5" s="123"/>
      <c r="F5" s="124"/>
      <c r="G5" s="63">
        <v>17144825.19178075</v>
      </c>
      <c r="H5" s="14" t="s">
        <v>3</v>
      </c>
      <c r="I5" s="1"/>
    </row>
    <row r="6" spans="1:9" x14ac:dyDescent="0.25">
      <c r="A6" s="1"/>
      <c r="B6" s="122" t="s">
        <v>51</v>
      </c>
      <c r="C6" s="123"/>
      <c r="D6" s="123"/>
      <c r="E6" s="123"/>
      <c r="F6" s="124"/>
      <c r="G6" s="23">
        <f>G5*'Fane 15. Nøgletal'!C21</f>
        <v>156017.90924520482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9" t="s">
        <v>56</v>
      </c>
      <c r="C9" s="120"/>
      <c r="D9" s="120"/>
      <c r="E9" s="120"/>
      <c r="F9" s="120"/>
      <c r="G9" s="120"/>
      <c r="H9" s="121"/>
      <c r="I9" s="1"/>
    </row>
    <row r="10" spans="1:9" x14ac:dyDescent="0.25">
      <c r="A10" s="1"/>
      <c r="B10" s="122" t="s">
        <v>57</v>
      </c>
      <c r="C10" s="123"/>
      <c r="D10" s="123"/>
      <c r="E10" s="123"/>
      <c r="F10" s="124"/>
      <c r="G10" s="23">
        <f>(G5-G6)*(1+'Fane 15. Nøgletal'!C10)</f>
        <v>17286111.409979917</v>
      </c>
      <c r="H10" s="14" t="s">
        <v>3</v>
      </c>
      <c r="I10" s="1"/>
    </row>
    <row r="11" spans="1:9" x14ac:dyDescent="0.25">
      <c r="A11" s="1"/>
      <c r="B11" s="122" t="s">
        <v>104</v>
      </c>
      <c r="C11" s="123"/>
      <c r="D11" s="123"/>
      <c r="E11" s="123"/>
      <c r="F11" s="124"/>
      <c r="G11" s="63">
        <v>80137.268277740572</v>
      </c>
      <c r="H11" s="14" t="s">
        <v>3</v>
      </c>
      <c r="I11" s="1"/>
    </row>
    <row r="12" spans="1:9" x14ac:dyDescent="0.25">
      <c r="A12" s="1"/>
      <c r="B12" s="125" t="s">
        <v>247</v>
      </c>
      <c r="C12" s="126"/>
      <c r="D12" s="126"/>
      <c r="E12" s="126"/>
      <c r="F12" s="127"/>
      <c r="G12" s="66">
        <v>0</v>
      </c>
      <c r="H12" s="14" t="s">
        <v>3</v>
      </c>
      <c r="I12" s="1"/>
    </row>
    <row r="13" spans="1:9" x14ac:dyDescent="0.25">
      <c r="A13" s="1"/>
      <c r="B13" s="122" t="s">
        <v>58</v>
      </c>
      <c r="C13" s="123"/>
      <c r="D13" s="123"/>
      <c r="E13" s="123"/>
      <c r="F13" s="124"/>
      <c r="G13" s="23">
        <f>SUM(G10:G12)*'Fane 15. Nøgletal'!C22</f>
        <v>307382.60160516057</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9" t="s">
        <v>59</v>
      </c>
      <c r="C16" s="120"/>
      <c r="D16" s="120"/>
      <c r="E16" s="120"/>
      <c r="F16" s="120"/>
      <c r="G16" s="120"/>
      <c r="H16" s="121"/>
      <c r="I16" s="1"/>
    </row>
    <row r="17" spans="1:9" x14ac:dyDescent="0.25">
      <c r="A17" s="1"/>
      <c r="B17" s="122" t="s">
        <v>60</v>
      </c>
      <c r="C17" s="123"/>
      <c r="D17" s="123"/>
      <c r="E17" s="123"/>
      <c r="F17" s="124"/>
      <c r="G17" s="23">
        <f>(SUM(G10:G12)-G13)*(1+'Fane 15. Nøgletal'!C10)</f>
        <v>17357396.232993916</v>
      </c>
      <c r="H17" s="14" t="s">
        <v>3</v>
      </c>
      <c r="I17" s="1"/>
    </row>
    <row r="18" spans="1:9" x14ac:dyDescent="0.25">
      <c r="A18" s="1"/>
      <c r="B18" s="125" t="s">
        <v>248</v>
      </c>
      <c r="C18" s="126"/>
      <c r="D18" s="126"/>
      <c r="E18" s="126"/>
      <c r="F18" s="127"/>
      <c r="G18" s="63">
        <v>345587.27451955993</v>
      </c>
      <c r="H18" s="14" t="s">
        <v>3</v>
      </c>
      <c r="I18" s="1"/>
    </row>
    <row r="19" spans="1:9" x14ac:dyDescent="0.25">
      <c r="A19" s="1"/>
      <c r="B19" s="122" t="s">
        <v>61</v>
      </c>
      <c r="C19" s="123"/>
      <c r="D19" s="123"/>
      <c r="E19" s="123"/>
      <c r="F19" s="124"/>
      <c r="G19" s="23">
        <f>G17*'Fane 15. Nøgletal'!C22+G18*'Fane 15. Nøgletal'!C23</f>
        <v>310232.52261231252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9" t="s">
        <v>62</v>
      </c>
      <c r="C22" s="120"/>
      <c r="D22" s="120"/>
      <c r="E22" s="120"/>
      <c r="F22" s="120"/>
      <c r="G22" s="120"/>
      <c r="H22" s="121"/>
      <c r="I22" s="1"/>
    </row>
    <row r="23" spans="1:9" x14ac:dyDescent="0.25">
      <c r="A23" s="1"/>
      <c r="B23" s="122" t="s">
        <v>63</v>
      </c>
      <c r="C23" s="123"/>
      <c r="D23" s="123"/>
      <c r="E23" s="123"/>
      <c r="F23" s="124"/>
      <c r="G23" s="23">
        <f>(G17+G18-G19)*(1+'Fane 15. Nøgletal'!C12)</f>
        <v>17735388.179303717</v>
      </c>
      <c r="H23" s="14" t="s">
        <v>3</v>
      </c>
      <c r="I23" s="1"/>
    </row>
    <row r="24" spans="1:9" x14ac:dyDescent="0.25">
      <c r="A24" s="1"/>
      <c r="B24" s="125" t="s">
        <v>249</v>
      </c>
      <c r="C24" s="126"/>
      <c r="D24" s="126"/>
      <c r="E24" s="126"/>
      <c r="F24" s="127"/>
      <c r="G24" s="63">
        <v>104339.0886412644</v>
      </c>
      <c r="H24" s="14" t="s">
        <v>3</v>
      </c>
      <c r="I24" s="1"/>
    </row>
    <row r="25" spans="1:9" x14ac:dyDescent="0.25">
      <c r="A25" s="1"/>
      <c r="B25" s="122" t="s">
        <v>64</v>
      </c>
      <c r="C25" s="123"/>
      <c r="D25" s="123"/>
      <c r="E25" s="123"/>
      <c r="F25" s="124"/>
      <c r="G25" s="23">
        <f>(G23+G24)*'Fane 15. Nøgletal'!C24</f>
        <v>506648.25440963748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9" t="s">
        <v>65</v>
      </c>
      <c r="C28" s="120"/>
      <c r="D28" s="120"/>
      <c r="E28" s="120"/>
      <c r="F28" s="120"/>
      <c r="G28" s="120"/>
      <c r="H28" s="121"/>
      <c r="I28" s="1"/>
    </row>
    <row r="29" spans="1:9" x14ac:dyDescent="0.25">
      <c r="A29" s="1"/>
      <c r="B29" s="122" t="s">
        <v>66</v>
      </c>
      <c r="C29" s="123"/>
      <c r="D29" s="123"/>
      <c r="E29" s="123"/>
      <c r="F29" s="124"/>
      <c r="G29" s="23">
        <f>(G23+G24-G25)*(1+'Fane 15. Nøgletal'!C12)</f>
        <v>17674540.670101989</v>
      </c>
      <c r="H29" s="14" t="s">
        <v>3</v>
      </c>
      <c r="I29" s="1"/>
    </row>
    <row r="30" spans="1:9" x14ac:dyDescent="0.25">
      <c r="A30" s="1"/>
      <c r="B30" s="122" t="s">
        <v>250</v>
      </c>
      <c r="C30" s="123"/>
      <c r="D30" s="123"/>
      <c r="E30" s="123"/>
      <c r="F30" s="124"/>
      <c r="G30" s="63">
        <v>279097.34950439999</v>
      </c>
      <c r="H30" s="14" t="s">
        <v>3</v>
      </c>
      <c r="I30" s="1"/>
    </row>
    <row r="31" spans="1:9" x14ac:dyDescent="0.25">
      <c r="A31" s="1"/>
      <c r="B31" s="122" t="s">
        <v>67</v>
      </c>
      <c r="C31" s="123"/>
      <c r="D31" s="123"/>
      <c r="E31" s="123"/>
      <c r="F31" s="124"/>
      <c r="G31" s="23">
        <f>G29*'Fane 15. Nøgletal'!C24+G30*'Fane 15. Nøgletal'!C25</f>
        <v>509632.13214226754</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9" t="s">
        <v>130</v>
      </c>
      <c r="C34" s="120"/>
      <c r="D34" s="120"/>
      <c r="E34" s="120"/>
      <c r="F34" s="120"/>
      <c r="G34" s="120"/>
      <c r="H34" s="121"/>
      <c r="I34" s="1"/>
    </row>
    <row r="35" spans="1:9" x14ac:dyDescent="0.25">
      <c r="A35" s="1"/>
      <c r="B35" s="122" t="s">
        <v>215</v>
      </c>
      <c r="C35" s="123"/>
      <c r="D35" s="123"/>
      <c r="E35" s="123"/>
      <c r="F35" s="124"/>
      <c r="G35" s="23">
        <f>(G29+G30-G31)*(1+'Fane 15. Nøgletal'!C14)</f>
        <v>17501571.106892753</v>
      </c>
      <c r="H35" s="14" t="s">
        <v>3</v>
      </c>
      <c r="I35" s="1"/>
    </row>
    <row r="36" spans="1:9" x14ac:dyDescent="0.25">
      <c r="A36" s="1"/>
      <c r="B36" s="122" t="s">
        <v>251</v>
      </c>
      <c r="C36" s="123"/>
      <c r="D36" s="123"/>
      <c r="E36" s="123"/>
      <c r="F36" s="124"/>
      <c r="G36" s="63">
        <v>171435.90067590002</v>
      </c>
      <c r="H36" s="14" t="s">
        <v>3</v>
      </c>
      <c r="I36" s="1"/>
    </row>
    <row r="37" spans="1:9" x14ac:dyDescent="0.25">
      <c r="A37" s="1"/>
      <c r="B37" s="122" t="s">
        <v>131</v>
      </c>
      <c r="C37" s="123"/>
      <c r="D37" s="123"/>
      <c r="E37" s="123"/>
      <c r="F37" s="124"/>
      <c r="G37" s="23">
        <f>(G35+G36)*'Fane 15. Nøgletal'!C26</f>
        <v>261560.5037120161</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9" t="s">
        <v>151</v>
      </c>
      <c r="C40" s="120"/>
      <c r="D40" s="120"/>
      <c r="E40" s="120"/>
      <c r="F40" s="120"/>
      <c r="G40" s="120"/>
      <c r="H40" s="121"/>
      <c r="I40" s="1"/>
    </row>
    <row r="41" spans="1:9" x14ac:dyDescent="0.25">
      <c r="A41" s="1"/>
      <c r="B41" s="122" t="s">
        <v>216</v>
      </c>
      <c r="C41" s="123"/>
      <c r="D41" s="123"/>
      <c r="E41" s="123"/>
      <c r="F41" s="124"/>
      <c r="G41" s="23">
        <f>(G35+G36-G37)*(1+'Fane 15. Nøgletal'!C14)</f>
        <v>17468904.277319364</v>
      </c>
      <c r="H41" s="14" t="s">
        <v>3</v>
      </c>
      <c r="I41" s="1"/>
    </row>
    <row r="42" spans="1:9" x14ac:dyDescent="0.25">
      <c r="A42" s="1"/>
      <c r="B42" s="40" t="s">
        <v>156</v>
      </c>
      <c r="C42" s="81"/>
      <c r="D42" s="81"/>
      <c r="E42" s="81"/>
      <c r="F42" s="82"/>
      <c r="G42" s="72">
        <v>184483.69033248001</v>
      </c>
      <c r="H42" s="14" t="s">
        <v>3</v>
      </c>
      <c r="I42" s="1"/>
    </row>
    <row r="43" spans="1:9" x14ac:dyDescent="0.25">
      <c r="A43" s="1"/>
      <c r="B43" s="122" t="s">
        <v>132</v>
      </c>
      <c r="C43" s="123"/>
      <c r="D43" s="123"/>
      <c r="E43" s="123"/>
      <c r="F43" s="124"/>
      <c r="G43" s="23">
        <f>(G41)*'Fane 15. Nøgletal'!C26+G42*'Fane 15. Nøgletal'!C27</f>
        <v>258539.78330432661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9" t="s">
        <v>259</v>
      </c>
      <c r="C52" s="120"/>
      <c r="D52" s="120"/>
      <c r="E52" s="120"/>
      <c r="F52" s="120"/>
      <c r="G52" s="120"/>
      <c r="H52" s="121"/>
      <c r="I52" s="1"/>
    </row>
    <row r="53" spans="1:9" x14ac:dyDescent="0.25">
      <c r="A53" s="1"/>
      <c r="B53" s="122" t="s">
        <v>217</v>
      </c>
      <c r="C53" s="123"/>
      <c r="D53" s="123"/>
      <c r="E53" s="123"/>
      <c r="F53" s="124"/>
      <c r="G53" s="23">
        <f>(G41+G42-G43)*(1+'Fane 15. Nøgletal'!C16)</f>
        <v>18800351.917642798</v>
      </c>
      <c r="H53" s="14" t="s">
        <v>3</v>
      </c>
      <c r="I53" s="1"/>
    </row>
    <row r="54" spans="1:9" x14ac:dyDescent="0.25">
      <c r="A54" s="1"/>
      <c r="B54" s="80" t="s">
        <v>195</v>
      </c>
      <c r="C54" s="81"/>
      <c r="D54" s="81"/>
      <c r="E54" s="81"/>
      <c r="F54" s="82"/>
      <c r="G54" s="23">
        <f>('Fane 2.1. Økonomisk ramme 2024'!C11+'Fane 2.1. Økonomisk ramme 2024'!C13+'Fane 2.1. Økonomisk ramme 2024'!C15)*(1+'Fane 15. Nøgletal'!C16)</f>
        <v>960546.34002879995</v>
      </c>
      <c r="H54" s="14" t="s">
        <v>3</v>
      </c>
      <c r="I54" s="1"/>
    </row>
    <row r="55" spans="1:9" x14ac:dyDescent="0.25">
      <c r="A55" s="1"/>
      <c r="B55" s="122" t="s">
        <v>218</v>
      </c>
      <c r="C55" s="123"/>
      <c r="D55" s="123"/>
      <c r="E55" s="123"/>
      <c r="F55" s="124"/>
      <c r="G55" s="74">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9" t="s">
        <v>258</v>
      </c>
      <c r="C58" s="120"/>
      <c r="D58" s="120"/>
      <c r="E58" s="120"/>
      <c r="F58" s="120"/>
      <c r="G58" s="120"/>
      <c r="H58" s="121"/>
      <c r="I58" s="1"/>
    </row>
    <row r="59" spans="1:9" x14ac:dyDescent="0.25">
      <c r="A59" s="1"/>
      <c r="B59" s="122" t="s">
        <v>219</v>
      </c>
      <c r="C59" s="123"/>
      <c r="D59" s="123"/>
      <c r="E59" s="123"/>
      <c r="F59" s="124"/>
      <c r="G59" s="23">
        <f>(G53+G54-G55)*(1+'Fane 15. Nøgletal'!C16)</f>
        <v>21357578.836891465</v>
      </c>
      <c r="H59" s="14" t="s">
        <v>3</v>
      </c>
      <c r="I59" s="1"/>
    </row>
    <row r="60" spans="1:9" x14ac:dyDescent="0.25">
      <c r="A60" s="1"/>
      <c r="B60" s="122" t="s">
        <v>220</v>
      </c>
      <c r="C60" s="123"/>
      <c r="D60" s="123"/>
      <c r="E60" s="123"/>
      <c r="F60" s="124"/>
      <c r="G60" s="74">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9" t="s">
        <v>141</v>
      </c>
      <c r="C63" s="120"/>
      <c r="D63" s="120"/>
      <c r="E63" s="120"/>
      <c r="F63" s="120"/>
      <c r="G63" s="120"/>
      <c r="H63" s="121"/>
      <c r="I63" s="1"/>
    </row>
    <row r="64" spans="1:9" x14ac:dyDescent="0.25">
      <c r="A64" s="1"/>
      <c r="B64" s="122" t="s">
        <v>221</v>
      </c>
      <c r="C64" s="123"/>
      <c r="D64" s="123"/>
      <c r="E64" s="123"/>
      <c r="F64" s="124"/>
      <c r="G64" s="23">
        <f>(G59-G60)*(1+'Fane 15. Nøgletal'!C16)</f>
        <v>23083271.206912294</v>
      </c>
      <c r="H64" s="14" t="s">
        <v>3</v>
      </c>
      <c r="I64" s="1"/>
    </row>
    <row r="65" spans="1:9" x14ac:dyDescent="0.25">
      <c r="A65" s="1"/>
      <c r="B65" s="122" t="s">
        <v>222</v>
      </c>
      <c r="C65" s="123"/>
      <c r="D65" s="123"/>
      <c r="E65" s="123"/>
      <c r="F65" s="124"/>
      <c r="G65" s="74">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9" t="s">
        <v>223</v>
      </c>
      <c r="C68" s="120"/>
      <c r="D68" s="120"/>
      <c r="E68" s="120"/>
      <c r="F68" s="120"/>
      <c r="G68" s="120"/>
      <c r="H68" s="121"/>
      <c r="I68" s="1"/>
    </row>
    <row r="69" spans="1:9" x14ac:dyDescent="0.25">
      <c r="A69" s="1"/>
      <c r="B69" s="122" t="s">
        <v>221</v>
      </c>
      <c r="C69" s="123"/>
      <c r="D69" s="123"/>
      <c r="E69" s="123"/>
      <c r="F69" s="124"/>
      <c r="G69" s="23">
        <f>(G64-G65)*(1+'Fane 15. Nøgletal'!C16)</f>
        <v>24948399.520430807</v>
      </c>
      <c r="H69" s="14" t="s">
        <v>3</v>
      </c>
      <c r="I69" s="1"/>
    </row>
    <row r="70" spans="1:9" x14ac:dyDescent="0.25">
      <c r="A70" s="1"/>
      <c r="B70" s="122" t="s">
        <v>222</v>
      </c>
      <c r="C70" s="123"/>
      <c r="D70" s="123"/>
      <c r="E70" s="123"/>
      <c r="F70" s="124"/>
      <c r="G70" s="74">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9PGOku1qv4dSW/En1YQ4Iet3hZF3PIDyYfU+dFDK13OmiJnR1XwNHgi4hkznNGWTw887U1d4fu86H7AKOUw2ig==" saltValue="Yfv8vfcObFCf5h2/AWdaq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76</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10</v>
      </c>
      <c r="C8" s="120"/>
      <c r="D8" s="120"/>
      <c r="E8" s="120"/>
      <c r="F8" s="120"/>
      <c r="G8" s="121"/>
      <c r="H8" s="1"/>
    </row>
    <row r="9" spans="1:8" x14ac:dyDescent="0.25">
      <c r="A9" s="1"/>
      <c r="B9" s="122" t="s">
        <v>271</v>
      </c>
      <c r="C9" s="123"/>
      <c r="D9" s="123"/>
      <c r="E9" s="123"/>
      <c r="F9" s="124"/>
      <c r="G9" s="22">
        <v>1.0336636107547661E-2</v>
      </c>
      <c r="H9" s="1"/>
    </row>
    <row r="10" spans="1:8" x14ac:dyDescent="0.25">
      <c r="A10" s="1"/>
      <c r="B10" s="33"/>
      <c r="C10" s="28"/>
      <c r="D10" s="28"/>
      <c r="E10" s="28"/>
      <c r="F10" s="28"/>
      <c r="G10" s="19"/>
      <c r="H10" s="1"/>
    </row>
    <row r="11" spans="1:8" ht="33" customHeight="1" x14ac:dyDescent="0.25">
      <c r="A11" s="1"/>
      <c r="B11" s="133" t="s">
        <v>264</v>
      </c>
      <c r="C11" s="133"/>
      <c r="D11" s="133"/>
      <c r="E11" s="133"/>
      <c r="F11" s="133"/>
      <c r="G11" s="13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PmUPbAPpLp4vLDqUrc5LiXM0EciJOgOUQt+OmacplGCRf4yYtlKZqBYfPiRADZgFHUgdr2OTGzltcPCCz4AaUw==" saltValue="5ycbyOTVjLmvOS0rTDEQd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Kristina Frisgaard</cp:lastModifiedBy>
  <cp:lastPrinted>2016-06-14T12:57:30Z</cp:lastPrinted>
  <dcterms:created xsi:type="dcterms:W3CDTF">2016-06-02T08:51:18Z</dcterms:created>
  <dcterms:modified xsi:type="dcterms:W3CDTF">2023-10-04T09:35:05Z</dcterms:modified>
</cp:coreProperties>
</file>