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illerød Spildevand AS (S039)\ØR2024\"/>
    </mc:Choice>
  </mc:AlternateContent>
  <xr:revisionPtr revIDLastSave="0" documentId="13_ncr:1_{ECC3EFE4-EFF7-4A1B-BB46-95C2D6C7F62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C9" i="2"/>
  <c r="C20" i="15" l="1"/>
  <c r="C32" i="2"/>
  <c r="E30" i="20"/>
  <c r="E29" i="20"/>
  <c r="E24" i="20"/>
  <c r="E23" i="20"/>
  <c r="E25" i="20" s="1"/>
  <c r="E31" i="20" l="1"/>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27" i="37" s="1"/>
  <c r="C28" i="37" s="1"/>
  <c r="C10" i="2" l="1"/>
  <c r="G35" i="36"/>
  <c r="G53" i="30" l="1"/>
  <c r="G37" i="36"/>
  <c r="G41" i="36" l="1"/>
  <c r="G27" i="30"/>
  <c r="G43" i="36" l="1"/>
  <c r="G31" i="30"/>
  <c r="E10" i="37"/>
  <c r="E27" i="37" s="1"/>
  <c r="E28"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<sst xmlns="http://schemas.openxmlformats.org/spreadsheetml/2006/main" count="687" uniqueCount="306">
  <si>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</si>
  <si>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</si>
  <si>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</si>
  <si>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</si>
  <si>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</si>
  <si>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</si>
  <si>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</si>
  <si>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</si>
  <si>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</si>
  <si>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</si>
  <si>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</si>
  <si>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</si>
  <si>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</si>
  <si>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</si>
  <si>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</si>
  <si>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</si>
  <si>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</si>
  <si>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</si>
  <si>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</si>
  <si>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</si>
  <si>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</si>
  <si>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</si>
  <si>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</si>
  <si>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</si>
  <si>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</si>
  <si>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</si>
  <si>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</si>
  <si>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</si>
  <si>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</si>
  <si>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</si>
  <si>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</si>
  <si>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</si>
  <si>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</si>
  <si>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</si>
  <si>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</si>
  <si>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</si>
  <si>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</si>
  <si>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</si>
  <si>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</si>
  <si>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</si>
  <si>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</si>
  <si>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</si>
  <si>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</si>
  <si>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</si>
  <si>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</si>
  <si>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</si>
  <si>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</si>
  <si>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</si>
  <si>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</si>
  <si>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</si>
  <si>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</si>
  <si>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</si>
  <si>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</si>
  <si>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</si>
  <si>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</si>
  <si>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</si>
  <si>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</si>
  <si>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</si>
  <si>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</si>
  <si>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</si>
  <si>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</si>
  <si>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</si>
  <si>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</si>
  <si>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</si>
  <si>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</si>
  <si>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</si>
  <si>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</si>
  <si>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</si>
  <si>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</si>
  <si>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</si>
  <si>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</si>
  <si>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</si>
  <si>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</si>
  <si>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</si>
  <si>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</si>
  <si>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</si>
  <si>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</si>
  <si>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</si>
  <si>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</si>
  <si>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</si>
  <si>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</si>
  <si>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</si>
  <si>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</si>
  <si>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</si>
  <si>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</si>
  <si>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</si>
  <si>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</si>
  <si>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</si>
  <si>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</si>
  <si>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</si>
  <si>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</si>
  <si>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</si>
  <si>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</si>
  <si>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</si>
  <si>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</si>
  <si>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</si>
  <si>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</si>
  <si>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</si>
  <si>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</si>
  <si>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</si>
  <si>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</si>
  <si>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</si>
  <si>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</si>
  <si>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</si>
  <si>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</si>
  <si>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</si>
  <si>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</si>
  <si>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</si>
  <si>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</si>
  <si>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</si>
  <si>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</si>
  <si>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</si>
  <si>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</si>
  <si>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</si>
  <si>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</si>
  <si>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</si>
  <si>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</si>
  <si>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</si>
  <si>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</si>
  <si>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</si>
  <si>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</si>
  <si>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</si>
  <si>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</si>
  <si>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</si>
  <si>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</si>
  <si>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</si>
  <si>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</si>
  <si>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</si>
  <si>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</si>
  <si>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</si>
  <si>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</si>
  <si>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</si>
  <si>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</si>
  <si>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</si>
  <si>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</si>
  <si>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</si>
  <si>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</si>
  <si>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</si>
  <si>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</si>
  <si>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</si>
  <si>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</si>
  <si>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</si>
  <si>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</si>
  <si>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</si>
  <si>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</si>
  <si>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</si>
  <si>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</si>
  <si>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</si>
  <si>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</si>
  <si>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</si>
  <si>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</si>
  <si>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</si>
  <si>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</si>
  <si>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</si>
  <si>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</si>
  <si>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</si>
  <si>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</si>
  <si>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</si>
  <si>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</si>
  <si>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</si>
  <si>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</si>
  <si>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</si>
  <si>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</si>
  <si>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</si>
  <si>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</si>
  <si>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</si>
  <si>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</si>
  <si>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</si>
  <si>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</si>
  <si>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</si>
  <si>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</si>
  <si>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</si>
  <si>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</si>
  <si>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</si>
  <si>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</si>
  <si>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</si>
  <si>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</si>
  <si>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</si>
  <si>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</si>
  <si>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</si>
  <si>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</si>
  <si>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</si>
  <si>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</si>
  <si>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</si>
  <si>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</si>
  <si>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</si>
  <si>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</si>
  <si>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</si>
  <si>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</si>
  <si>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</si>
  <si>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</si>
  <si>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</si>
  <si>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</si>
  <si>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</si>
  <si>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</si>
  <si>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</si>
  <si>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</si>
  <si>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</si>
  <si>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</si>
  <si>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</si>
  <si>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</si>
  <si>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</si>
  <si>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</si>
  <si>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</si>
  <si>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</si>
  <si>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</si>
  <si>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</si>
  <si>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</si>
  <si>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</si>
  <si>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</si>
  <si>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</si>
  <si>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</si>
  <si>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</si>
  <si>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</si>
  <si>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</si>
  <si>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</si>
  <si>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</si>
  <si>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</si>
  <si>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</si>
  <si>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</si>
  <si>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</si>
  <si>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</si>
  <si>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</si>
  <si>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</si>
  <si>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</si>
  <si>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</si>
  <si>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</si>
  <si>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</si>
  <si>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</si>
  <si>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</si>
  <si>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</si>
  <si>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</si>
  <si>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</si>
  <si>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</si>
  <si>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</si>
  <si>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</si>
  <si>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</si>
  <si>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</si>
  <si>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</si>
  <si>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</si>
  <si>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</si>
  <si>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</si>
  <si>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</si>
  <si>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</si>
  <si>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</si>
  <si>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</si>
  <si>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</si>
  <si>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</si>
  <si>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</si>
  <si>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</si>
  <si>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</si>
  <si>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</si>
  <si>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</si>
  <si>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</si>
  <si>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</si>
  <si>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</si>
  <si>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</si>
  <si>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</si>
  <si>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</si>
  <si>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</si>
  <si>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</si>
  <si>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</si>
  <si>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</si>
  <si>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</si>
  <si>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</si>
  <si>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</si>
  <si>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</si>
  <si>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</si>
  <si>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</si>
  <si>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</si>
  <si>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</si>
  <si>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</si>
  <si>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</si>
  <si>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</si>
  <si>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</si>
  <si>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</si>
  <si>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</si>
  <si>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</si>
  <si>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</si>
  <si>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</si>
  <si>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</si>
  <si>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</si>
  <si>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</si>
  <si>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</si>
  <si>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</si>
  <si>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</si>
  <si>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</si>
  <si>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Ejendomsskat</t>
  </si>
  <si>
    <t>Øvrige afgift, biogasafgifter</t>
  </si>
  <si>
    <t>Diverse projekter vedrørende Strømpeforing</t>
  </si>
  <si>
    <t>Overløbsmålinger (2503600)</t>
  </si>
  <si>
    <t>Strømpeforing i Nødebo (2500806)</t>
  </si>
  <si>
    <t>Strømpeforing P. Mogensensvej (2500807)</t>
  </si>
  <si>
    <t>Strømpeforing St. Lyngby (2507200)</t>
  </si>
  <si>
    <t>Styringsstrategi (2505910)</t>
  </si>
  <si>
    <t>Omlægning af Høje Grøft (2509505)</t>
  </si>
  <si>
    <t>Anlægsomkostninger vedr. tilslutninger 2022</t>
  </si>
  <si>
    <t>Byggemodning Amorbuen (2505470)</t>
  </si>
  <si>
    <t>Byggemodning Cirkelbuen (2505445)</t>
  </si>
  <si>
    <t>Byggemodning Dyremosegård (2509118)</t>
  </si>
  <si>
    <t>Byggemodning Gørløse Th. Petersens Vej</t>
  </si>
  <si>
    <t>Den grønne kile (2505460)</t>
  </si>
  <si>
    <t>Driftsomkostninger vedr. tilslutninger 2022</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</si>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</sst>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6" t="s">
        <v>252</v>
      </c>
      <c r="E8" s="106"/>
      <c r="F8" s="106"/>
      <c r="G8" s="10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5" t="s">
        <v>5</v>
      </c>
      <c r="E11" s="105"/>
      <c r="F11" s="105"/>
      <c r="G11" s="105"/>
      <c r="H11" s="5"/>
      <c r="I11" s="1"/>
    </row>
    <row r="12" spans="1:9" x14ac:dyDescent="0.25">
      <c r="A12" s="1"/>
      <c r="B12" s="1"/>
      <c r="C12" s="1"/>
      <c r="D12" s="1"/>
      <c r="E12" s="1"/>
      <c r="F12" s="1"/>
      <c r="G12" s="1"/>
      <c r="H12" s="5"/>
      <c r="I12" s="1"/>
    </row>
    <row r="13" spans="1:9" x14ac:dyDescent="0.25">
      <c r="A13" s="1"/>
      <c r="B13" s="1"/>
      <c r="C13" s="6" t="s">
        <v>6</v>
      </c>
      <c r="D13" s="107" t="s">
        <v>196</v>
      </c>
      <c r="E13" s="108"/>
      <c r="F13" s="108"/>
      <c r="G13" s="109"/>
      <c r="H13" s="5"/>
      <c r="I13" s="1"/>
    </row>
    <row r="14" spans="1:9" x14ac:dyDescent="0.25">
      <c r="A14" s="1"/>
      <c r="B14" s="1"/>
      <c r="C14" s="6" t="s">
        <v>16</v>
      </c>
      <c r="D14" s="98" t="s">
        <v>197</v>
      </c>
      <c r="E14" s="99"/>
      <c r="F14" s="99"/>
      <c r="G14" s="100"/>
      <c r="H14" s="5"/>
      <c r="I14" s="1"/>
    </row>
    <row r="15" spans="1:9" x14ac:dyDescent="0.25">
      <c r="A15" s="1"/>
      <c r="B15" s="1"/>
      <c r="C15" s="6" t="s">
        <v>31</v>
      </c>
      <c r="D15" s="98" t="s">
        <v>262</v>
      </c>
      <c r="E15" s="99"/>
      <c r="F15" s="99"/>
      <c r="G15" s="100"/>
      <c r="H15" s="5"/>
      <c r="I15" s="1"/>
    </row>
    <row r="16" spans="1:9" x14ac:dyDescent="0.25">
      <c r="A16" s="1"/>
      <c r="B16" s="1"/>
      <c r="C16" s="6" t="s">
        <v>32</v>
      </c>
      <c r="D16" s="98" t="s">
        <v>263</v>
      </c>
      <c r="E16" s="99"/>
      <c r="F16" s="99"/>
      <c r="G16" s="100"/>
      <c r="H16" s="5"/>
      <c r="I16" s="1"/>
    </row>
    <row r="17" spans="1:9" x14ac:dyDescent="0.25">
      <c r="A17" s="1"/>
      <c r="B17" s="1"/>
      <c r="C17" s="6" t="s">
        <v>101</v>
      </c>
      <c r="D17" s="98" t="s">
        <v>198</v>
      </c>
      <c r="E17" s="99"/>
      <c r="F17" s="99"/>
      <c r="G17" s="100"/>
      <c r="H17" s="5"/>
      <c r="I17" s="1"/>
    </row>
    <row r="18" spans="1:9" x14ac:dyDescent="0.25">
      <c r="A18" s="1"/>
      <c r="B18" s="1"/>
      <c r="C18" s="6" t="s">
        <v>88</v>
      </c>
      <c r="D18" s="95" t="s">
        <v>79</v>
      </c>
      <c r="E18" s="96"/>
      <c r="F18" s="96"/>
      <c r="G18" s="97"/>
      <c r="H18" s="5"/>
      <c r="I18" s="1"/>
    </row>
    <row r="19" spans="1:9" x14ac:dyDescent="0.25">
      <c r="A19" s="1"/>
      <c r="B19" s="1"/>
      <c r="C19" s="6" t="s">
        <v>89</v>
      </c>
      <c r="D19" s="95" t="s">
        <v>80</v>
      </c>
      <c r="E19" s="96"/>
      <c r="F19" s="96"/>
      <c r="G19" s="97"/>
      <c r="H19" s="5"/>
      <c r="I19" s="1"/>
    </row>
    <row r="20" spans="1:9" x14ac:dyDescent="0.25">
      <c r="A20" s="1"/>
      <c r="B20" s="1"/>
      <c r="C20" s="6" t="s">
        <v>7</v>
      </c>
      <c r="D20" s="95" t="s">
        <v>10</v>
      </c>
      <c r="E20" s="96"/>
      <c r="F20" s="96"/>
      <c r="G20" s="97"/>
      <c r="H20" s="5"/>
      <c r="I20" s="1"/>
    </row>
    <row r="21" spans="1:9" x14ac:dyDescent="0.25">
      <c r="A21" s="1"/>
      <c r="B21" s="1"/>
      <c r="C21" s="6" t="s">
        <v>90</v>
      </c>
      <c r="D21" s="102" t="s">
        <v>12</v>
      </c>
      <c r="E21" s="103"/>
      <c r="F21" s="103"/>
      <c r="G21" s="104"/>
      <c r="H21" s="5"/>
      <c r="I21" s="1"/>
    </row>
    <row r="22" spans="1:9" x14ac:dyDescent="0.25">
      <c r="A22" s="1"/>
      <c r="B22" s="1"/>
      <c r="C22" s="6" t="s">
        <v>71</v>
      </c>
      <c r="D22" s="89" t="s">
        <v>199</v>
      </c>
      <c r="E22" s="90"/>
      <c r="F22" s="90"/>
      <c r="G22" s="91"/>
      <c r="H22" s="5"/>
      <c r="I22" s="1"/>
    </row>
    <row r="23" spans="1:9" x14ac:dyDescent="0.25">
      <c r="A23" s="1"/>
      <c r="B23" s="1"/>
      <c r="C23" s="6" t="s">
        <v>8</v>
      </c>
      <c r="D23" s="89" t="s">
        <v>181</v>
      </c>
      <c r="E23" s="90"/>
      <c r="F23" s="90"/>
      <c r="G23" s="91"/>
      <c r="H23" s="5"/>
      <c r="I23" s="1"/>
    </row>
    <row r="24" spans="1:9" x14ac:dyDescent="0.25">
      <c r="A24" s="1"/>
      <c r="B24" s="1"/>
      <c r="C24" s="6" t="s">
        <v>9</v>
      </c>
      <c r="D24" s="89" t="s">
        <v>200</v>
      </c>
      <c r="E24" s="90"/>
      <c r="F24" s="90"/>
      <c r="G24" s="91"/>
      <c r="H24" s="5"/>
      <c r="I24" s="1"/>
    </row>
    <row r="25" spans="1:9" x14ac:dyDescent="0.25">
      <c r="A25" s="1"/>
      <c r="B25" s="1"/>
      <c r="C25" s="6" t="s">
        <v>166</v>
      </c>
      <c r="D25" s="89" t="s">
        <v>160</v>
      </c>
      <c r="E25" s="90"/>
      <c r="F25" s="90"/>
      <c r="G25" s="91"/>
      <c r="H25" s="1"/>
      <c r="I25" s="1"/>
    </row>
    <row r="26" spans="1:9" x14ac:dyDescent="0.25">
      <c r="A26" s="1"/>
      <c r="B26" s="1"/>
      <c r="C26" s="6" t="s">
        <v>167</v>
      </c>
      <c r="D26" s="89" t="s">
        <v>72</v>
      </c>
      <c r="E26" s="90"/>
      <c r="F26" s="90"/>
      <c r="G26" s="91"/>
      <c r="H26" s="1"/>
      <c r="I26" s="1"/>
    </row>
    <row r="27" spans="1:9" x14ac:dyDescent="0.25">
      <c r="A27" s="1"/>
      <c r="B27" s="1"/>
      <c r="C27" s="6" t="s">
        <v>168</v>
      </c>
      <c r="D27" s="89" t="s">
        <v>73</v>
      </c>
      <c r="E27" s="90"/>
      <c r="F27" s="90"/>
      <c r="G27" s="91"/>
      <c r="H27" s="1"/>
      <c r="I27" s="1"/>
    </row>
    <row r="28" spans="1:9" x14ac:dyDescent="0.25">
      <c r="A28" s="1"/>
      <c r="B28" s="1"/>
      <c r="C28" s="6" t="s">
        <v>15</v>
      </c>
      <c r="D28" s="89" t="s">
        <v>74</v>
      </c>
      <c r="E28" s="90"/>
      <c r="F28" s="90"/>
      <c r="G28" s="91"/>
      <c r="H28" s="1"/>
      <c r="I28" s="1"/>
    </row>
    <row r="29" spans="1:9" x14ac:dyDescent="0.25">
      <c r="A29" s="1"/>
      <c r="B29" s="1"/>
      <c r="C29" s="6" t="s">
        <v>34</v>
      </c>
      <c r="D29" s="89" t="s">
        <v>114</v>
      </c>
      <c r="E29" s="90"/>
      <c r="F29" s="90"/>
      <c r="G29" s="91"/>
      <c r="H29" s="1"/>
      <c r="I29" s="1"/>
    </row>
    <row r="30" spans="1:9" x14ac:dyDescent="0.25">
      <c r="A30" s="1"/>
      <c r="B30" s="1"/>
      <c r="C30" s="6" t="s">
        <v>35</v>
      </c>
      <c r="D30" s="89" t="s">
        <v>33</v>
      </c>
      <c r="E30" s="90"/>
      <c r="F30" s="90"/>
      <c r="G30" s="91"/>
      <c r="H30" s="1"/>
      <c r="I30" s="1"/>
    </row>
    <row r="31" spans="1:9" x14ac:dyDescent="0.25">
      <c r="A31" s="1"/>
      <c r="B31" s="1"/>
      <c r="C31" s="6" t="s">
        <v>169</v>
      </c>
      <c r="D31" s="92" t="s">
        <v>87</v>
      </c>
      <c r="E31" s="93"/>
      <c r="F31" s="93"/>
      <c r="G31" s="9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2CDgaxma2xjKdeJN8UGCqeJq2/xQFo4SL3sZzfVQWyp7TQ2vASIIPdTf5tOLsnyEGZWeizdsrAnIiKXAZUWfAw==" saltValue="MsseWlkTvzeV6Y8yMnVFc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4" t="s">
        <v>224</v>
      </c>
      <c r="C8" s="115"/>
      <c r="D8" s="116"/>
      <c r="E8" s="1"/>
      <c r="F8" s="1"/>
    </row>
    <row r="9" spans="1:6" ht="15" customHeight="1" x14ac:dyDescent="0.25">
      <c r="A9" s="1"/>
      <c r="B9" s="27" t="s">
        <v>29</v>
      </c>
      <c r="C9" s="50" t="s">
        <v>225</v>
      </c>
      <c r="D9" s="11"/>
      <c r="E9" s="1"/>
      <c r="F9" s="1"/>
    </row>
    <row r="10" spans="1:6" ht="15" customHeight="1" x14ac:dyDescent="0.25">
      <c r="A10" s="1"/>
      <c r="B10" s="81" t="s">
        <v>284</v>
      </c>
      <c r="C10" s="9">
        <v>970243</v>
      </c>
      <c r="D10" s="14" t="s">
        <v>3</v>
      </c>
      <c r="E10" s="1"/>
      <c r="F10" s="1"/>
    </row>
    <row r="11" spans="1:6" ht="15" customHeight="1" x14ac:dyDescent="0.25">
      <c r="A11" s="1"/>
      <c r="B11" s="81" t="s">
        <v>285</v>
      </c>
      <c r="C11" s="9">
        <v>116872</v>
      </c>
      <c r="D11" s="14" t="s">
        <v>3</v>
      </c>
      <c r="E11" s="1"/>
      <c r="F11" s="1"/>
    </row>
    <row r="12" spans="1:6" x14ac:dyDescent="0.25">
      <c r="A12" s="1"/>
      <c r="B12" s="81" t="s">
        <v>286</v>
      </c>
      <c r="C12" s="9">
        <v>1434499</v>
      </c>
      <c r="D12" s="14" t="s">
        <v>3</v>
      </c>
      <c r="E12" s="1"/>
      <c r="F12" s="1"/>
    </row>
    <row r="13" spans="1:6" x14ac:dyDescent="0.25">
      <c r="A13" s="1"/>
      <c r="B13" s="81" t="s">
        <v>287</v>
      </c>
      <c r="C13" s="9">
        <v>517208</v>
      </c>
      <c r="D13" s="14" t="s">
        <v>3</v>
      </c>
      <c r="E13" s="1"/>
      <c r="F13" s="1"/>
    </row>
    <row r="14" spans="1:6" x14ac:dyDescent="0.25">
      <c r="A14" s="1"/>
      <c r="B14" s="81" t="s">
        <v>288</v>
      </c>
      <c r="C14" s="9">
        <v>34655</v>
      </c>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3073477</v>
      </c>
      <c r="D20" s="13" t="s">
        <v>3</v>
      </c>
      <c r="E20" s="1"/>
      <c r="F20" s="1"/>
    </row>
    <row r="21" spans="1:6" x14ac:dyDescent="0.25">
      <c r="A21" s="1"/>
      <c r="B21" s="33" t="s">
        <v>227</v>
      </c>
      <c r="C21" s="12">
        <f>C20*(1+'Fane 15. Nøgletal'!C16)^2</f>
        <v>3590216.5080812797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4" t="s">
        <v>99</v>
      </c>
      <c r="C24" s="115"/>
      <c r="D24" s="116"/>
      <c r="E24" s="1"/>
      <c r="F24" s="1"/>
    </row>
    <row r="25" spans="1:6" x14ac:dyDescent="0.25">
      <c r="A25" s="1"/>
      <c r="B25" s="81" t="s">
        <v>109</v>
      </c>
      <c r="C25" s="9">
        <v>1678803</v>
      </c>
      <c r="D25" s="14" t="s">
        <v>3</v>
      </c>
      <c r="E25" s="1"/>
      <c r="F25" s="1"/>
    </row>
    <row r="26" spans="1:6" x14ac:dyDescent="0.25">
      <c r="A26" s="1"/>
      <c r="B26" s="81" t="s">
        <v>123</v>
      </c>
      <c r="C26" s="9">
        <v>1678803</v>
      </c>
      <c r="D26" s="14" t="s">
        <v>3</v>
      </c>
      <c r="E26" s="1"/>
      <c r="F26" s="1"/>
    </row>
    <row r="27" spans="1:6" x14ac:dyDescent="0.25">
      <c r="A27" s="1"/>
      <c r="B27" s="81" t="s">
        <v>142</v>
      </c>
      <c r="C27" s="9">
        <v>1678803</v>
      </c>
      <c r="D27" s="14" t="s">
        <v>3</v>
      </c>
      <c r="E27" s="1"/>
      <c r="F27" s="1"/>
    </row>
    <row r="28" spans="1:6" x14ac:dyDescent="0.25">
      <c r="A28" s="1"/>
      <c r="B28" s="34" t="s">
        <v>261</v>
      </c>
      <c r="C28" s="9">
        <v>1678803</v>
      </c>
      <c r="D28" s="38" t="s">
        <v>3</v>
      </c>
      <c r="E28" s="1"/>
      <c r="F28" s="1"/>
    </row>
    <row r="29" spans="1:6" x14ac:dyDescent="0.25">
      <c r="A29" s="1"/>
      <c r="B29" s="114"/>
      <c r="C29" s="115"/>
      <c r="D29" s="116"/>
      <c r="E29" s="1"/>
      <c r="F29" s="1"/>
    </row>
    <row r="30" spans="1:6" x14ac:dyDescent="0.25">
      <c r="A30" s="1"/>
      <c r="B30" s="1"/>
      <c r="C30" s="1"/>
      <c r="D30" s="1"/>
      <c r="E30" s="1"/>
      <c r="F30" s="1"/>
    </row>
    <row r="31" spans="1:6" x14ac:dyDescent="0.25">
      <c r="A31" s="1"/>
      <c r="B31" s="1"/>
      <c r="C31" s="1"/>
      <c r="D31" s="1"/>
      <c r="E31" s="1"/>
      <c r="F31" s="1"/>
    </row>
    <row r="32" spans="1:6" x14ac:dyDescent="0.25">
      <c r="A32" s="1"/>
      <c r="B32" s="114" t="s">
        <v>81</v>
      </c>
      <c r="C32" s="115"/>
      <c r="D32" s="116"/>
      <c r="E32" s="1"/>
      <c r="F32" s="1"/>
    </row>
    <row r="33" spans="1:6" x14ac:dyDescent="0.25">
      <c r="A33" s="1"/>
      <c r="B33" s="81" t="s">
        <v>109</v>
      </c>
      <c r="C33" s="9">
        <v>66352</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4"/>
      <c r="C37" s="115"/>
      <c r="D37" s="116"/>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3j0WjxyAhO0GXmVp/lzhnZnG5uEOB0B92jKvUuPIjSdY6/lQ9BphMb/o88QULYu/gOKKh9Rx8JNtMbY6/ARsA==" saltValue="Rz0h88wffO3581nOa0onl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7FE9-4CA1-4BF8-B2EB-9B1428847722}">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4" t="s">
        <v>137</v>
      </c>
      <c r="C8" s="115"/>
      <c r="D8" s="115"/>
      <c r="E8" s="115"/>
      <c r="F8" s="116"/>
      <c r="G8" s="1"/>
    </row>
    <row r="9" spans="1:7" ht="15" customHeight="1" x14ac:dyDescent="0.25">
      <c r="A9" s="1"/>
      <c r="B9" s="117" t="s">
        <v>272</v>
      </c>
      <c r="C9" s="118"/>
      <c r="D9" s="119"/>
      <c r="E9" s="9">
        <v>6134374</v>
      </c>
      <c r="F9" s="14" t="s">
        <v>3</v>
      </c>
      <c r="G9" s="1"/>
    </row>
    <row r="10" spans="1:7" ht="15" customHeight="1" x14ac:dyDescent="0.25">
      <c r="A10" s="1"/>
      <c r="B10" s="117" t="s">
        <v>143</v>
      </c>
      <c r="C10" s="118"/>
      <c r="D10" s="119"/>
      <c r="E10" s="9">
        <v>-1018055</v>
      </c>
      <c r="F10" s="14" t="s">
        <v>3</v>
      </c>
      <c r="G10" s="1"/>
    </row>
    <row r="11" spans="1:7" ht="15" customHeight="1" x14ac:dyDescent="0.25">
      <c r="A11" s="1"/>
      <c r="B11" s="117" t="s">
        <v>273</v>
      </c>
      <c r="C11" s="118"/>
      <c r="D11" s="119"/>
      <c r="E11" s="9">
        <v>5040635</v>
      </c>
      <c r="F11" s="14" t="s">
        <v>3</v>
      </c>
      <c r="G11" s="1"/>
    </row>
    <row r="12" spans="1:7" x14ac:dyDescent="0.25">
      <c r="A12" s="1"/>
      <c r="B12" s="33"/>
      <c r="C12" s="28"/>
      <c r="D12" s="28"/>
      <c r="E12" s="28"/>
      <c r="F12" s="19"/>
      <c r="G12" s="1"/>
    </row>
    <row r="13" spans="1:7" ht="42" customHeight="1" x14ac:dyDescent="0.25">
      <c r="A13" s="1"/>
      <c r="B13" s="126" t="s">
        <v>274</v>
      </c>
      <c r="C13" s="127"/>
      <c r="D13" s="127"/>
      <c r="E13" s="127"/>
      <c r="F13" s="128"/>
      <c r="G13" s="1"/>
    </row>
    <row r="14" spans="1:7" ht="15" customHeight="1" x14ac:dyDescent="0.25">
      <c r="A14" s="1"/>
      <c r="B14" s="1"/>
      <c r="C14" s="1"/>
      <c r="D14" s="1"/>
      <c r="E14" s="1"/>
      <c r="F14" s="1"/>
      <c r="G14" s="1"/>
    </row>
    <row r="15" spans="1:7" x14ac:dyDescent="0.25">
      <c r="A15" s="1"/>
      <c r="B15" s="75" t="s">
        <v>275</v>
      </c>
      <c r="C15" s="76"/>
      <c r="D15" s="76"/>
      <c r="E15" s="76"/>
      <c r="F15" s="77"/>
      <c r="G15" s="1"/>
    </row>
    <row r="16" spans="1:7" x14ac:dyDescent="0.25">
      <c r="A16" s="1"/>
      <c r="B16" s="78" t="s">
        <v>276</v>
      </c>
      <c r="C16" s="79"/>
      <c r="D16" s="80"/>
      <c r="E16" s="9">
        <f>IF(E11&lt;0,E11,0)</f>
        <v>0</v>
      </c>
      <c r="F16" s="14" t="s">
        <v>3</v>
      </c>
      <c r="G16" s="1"/>
    </row>
    <row r="17" spans="1:7" x14ac:dyDescent="0.25">
      <c r="A17" s="1"/>
      <c r="B17" s="78" t="s">
        <v>277</v>
      </c>
      <c r="C17" s="79"/>
      <c r="D17" s="80"/>
      <c r="E17" s="9">
        <f>IF(SUM(E10)&gt;0,SUM(E10),0)</f>
        <v>0</v>
      </c>
      <c r="F17" s="14" t="s">
        <v>3</v>
      </c>
      <c r="G17" s="1"/>
    </row>
    <row r="18" spans="1:7" x14ac:dyDescent="0.25">
      <c r="A18" s="1"/>
      <c r="B18" s="82" t="s">
        <v>278</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279</v>
      </c>
      <c r="C21" s="76"/>
      <c r="D21" s="76"/>
      <c r="E21" s="76"/>
      <c r="F21" s="77"/>
      <c r="G21" s="1"/>
    </row>
    <row r="22" spans="1:7" x14ac:dyDescent="0.25">
      <c r="A22" s="1"/>
      <c r="B22" s="78" t="s">
        <v>280</v>
      </c>
      <c r="C22" s="79"/>
      <c r="D22" s="80"/>
      <c r="E22" s="9">
        <v>114257250.62711667</v>
      </c>
      <c r="F22" s="14" t="s">
        <v>3</v>
      </c>
      <c r="G22" s="1"/>
    </row>
    <row r="23" spans="1:7" x14ac:dyDescent="0.25">
      <c r="A23" s="1"/>
      <c r="B23" s="78" t="s">
        <v>281</v>
      </c>
      <c r="C23" s="79"/>
      <c r="D23" s="80"/>
      <c r="E23" s="9">
        <v>113103722</v>
      </c>
      <c r="F23" s="14" t="s">
        <v>3</v>
      </c>
      <c r="G23" s="1"/>
    </row>
    <row r="24" spans="1:7" x14ac:dyDescent="0.25">
      <c r="A24" s="1"/>
      <c r="B24" s="78" t="s">
        <v>30</v>
      </c>
      <c r="C24" s="79"/>
      <c r="D24" s="80"/>
      <c r="E24" s="9">
        <v>0</v>
      </c>
      <c r="F24" s="14" t="s">
        <v>3</v>
      </c>
      <c r="G24" s="1"/>
    </row>
    <row r="25" spans="1:7" x14ac:dyDescent="0.25">
      <c r="A25" s="1"/>
      <c r="B25" s="82" t="s">
        <v>282</v>
      </c>
      <c r="C25" s="83"/>
      <c r="D25" s="84"/>
      <c r="E25" s="62">
        <f>E22-E23-E24</f>
        <v>1153528.6271166652</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4" t="s">
        <v>283</v>
      </c>
      <c r="C28" s="115"/>
      <c r="D28" s="115"/>
      <c r="E28" s="115"/>
      <c r="F28" s="116"/>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ZiJLyj9Lt2DTN5iDV4Ww/GeYBzcA9zkncDT8Zd9V2FztVZ7Dzhsk0ddYq7ixeRLBChWEhBjBt9ZVgECSuHZM4A==" saltValue="C0xtfBDotOp4qJOMwlQ2Dg=="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4" t="s">
        <v>189</v>
      </c>
      <c r="C8" s="115"/>
      <c r="D8" s="115"/>
      <c r="E8" s="115"/>
      <c r="F8" s="115"/>
      <c r="G8" s="115"/>
      <c r="H8" s="116"/>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4" t="s">
        <v>180</v>
      </c>
      <c r="C18" s="115"/>
      <c r="D18" s="115"/>
      <c r="E18" s="115"/>
      <c r="F18" s="11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9A6z0yMw15Q6eAMSnaU1Q4bVwP4dUB+hrg6o0sAuX2Ebn7IraRMKJTfStIUPFhiQ9hu44JVBiOdE+thP+zn6Ow==" saltValue="rMbm1ZUlDHqJcx91vye4pA=="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228</v>
      </c>
      <c r="C9" s="115"/>
      <c r="D9" s="115"/>
      <c r="E9" s="115"/>
      <c r="F9" s="116"/>
      <c r="G9" s="1"/>
    </row>
    <row r="10" spans="1:7" x14ac:dyDescent="0.25">
      <c r="A10" s="1"/>
      <c r="B10" s="126" t="s">
        <v>82</v>
      </c>
      <c r="C10" s="127"/>
      <c r="D10" s="128"/>
      <c r="E10" s="7">
        <v>0</v>
      </c>
      <c r="F10" s="8" t="s">
        <v>3</v>
      </c>
      <c r="G10" s="1"/>
    </row>
    <row r="11" spans="1:7" x14ac:dyDescent="0.25">
      <c r="A11" s="1"/>
      <c r="B11" s="117" t="s">
        <v>229</v>
      </c>
      <c r="C11" s="118"/>
      <c r="D11" s="119"/>
      <c r="E11" s="7">
        <v>0</v>
      </c>
      <c r="F11" s="8" t="s">
        <v>3</v>
      </c>
      <c r="G11" s="1"/>
    </row>
    <row r="12" spans="1:7" x14ac:dyDescent="0.25">
      <c r="A12" s="1"/>
      <c r="B12" s="135" t="s">
        <v>83</v>
      </c>
      <c r="C12" s="136"/>
      <c r="D12" s="137"/>
      <c r="E12" s="10">
        <f>E11-E10</f>
        <v>0</v>
      </c>
      <c r="F12" s="11" t="s">
        <v>3</v>
      </c>
      <c r="G12" s="1"/>
    </row>
    <row r="13" spans="1:7" x14ac:dyDescent="0.25">
      <c r="A13" s="1"/>
      <c r="B13" s="114" t="s">
        <v>78</v>
      </c>
      <c r="C13" s="115"/>
      <c r="D13" s="115"/>
      <c r="E13" s="115"/>
      <c r="F13" s="116"/>
      <c r="G13" s="1"/>
    </row>
    <row r="14" spans="1:7" x14ac:dyDescent="0.25">
      <c r="A14" s="1"/>
      <c r="B14" s="117" t="s">
        <v>230</v>
      </c>
      <c r="C14" s="118"/>
      <c r="D14" s="119"/>
      <c r="E14" s="7">
        <v>1678803</v>
      </c>
      <c r="F14" s="8" t="s">
        <v>3</v>
      </c>
      <c r="G14" s="1"/>
    </row>
    <row r="15" spans="1:7" x14ac:dyDescent="0.25">
      <c r="A15" s="1"/>
      <c r="B15" s="126" t="s">
        <v>231</v>
      </c>
      <c r="C15" s="127"/>
      <c r="D15" s="128"/>
      <c r="E15" s="7">
        <v>151442</v>
      </c>
      <c r="F15" s="8" t="s">
        <v>3</v>
      </c>
      <c r="G15" s="1"/>
    </row>
    <row r="16" spans="1:7" x14ac:dyDescent="0.25">
      <c r="A16" s="1"/>
      <c r="B16" s="135" t="s">
        <v>83</v>
      </c>
      <c r="C16" s="136"/>
      <c r="D16" s="137"/>
      <c r="E16" s="10">
        <f>E15-E14</f>
        <v>-1527361</v>
      </c>
      <c r="F16" s="11" t="s">
        <v>3</v>
      </c>
      <c r="G16" s="1"/>
    </row>
    <row r="17" spans="1:7" x14ac:dyDescent="0.25">
      <c r="A17" s="1"/>
      <c r="B17" s="33" t="s">
        <v>232</v>
      </c>
      <c r="C17" s="28"/>
      <c r="D17" s="28"/>
      <c r="E17" s="12">
        <f>E12+E16</f>
        <v>-1527361</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FVsB/BXuT6cC7lp8lF0osceIK3sJrNnW8w/E0fmVvs5t8u1bafhxIYn3WhFDV8GfBfEtBcgaSFME0htbCMORQ==" saltValue="MA3xzzLVBUVtNxLUA26u/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4" t="s">
        <v>149</v>
      </c>
      <c r="C8" s="115"/>
      <c r="D8" s="115"/>
      <c r="E8" s="115"/>
      <c r="F8" s="115"/>
      <c r="G8" s="115"/>
      <c r="H8" s="115"/>
      <c r="I8" s="115"/>
      <c r="J8" s="115"/>
      <c r="K8" s="116"/>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9">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2X7DGR48YH3ZmmPmQRpsZvHY3+ExzqvuUgAdzXskPR7Kg4lncPfTG5KhBxNzSlXzgLFDTTDiQNJKolY2UJQyXg==" saltValue="O1TnhJAaTgMc1WfiHs+Sd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289</v>
      </c>
      <c r="C11" s="21">
        <v>0</v>
      </c>
      <c r="D11" s="14" t="s">
        <v>3</v>
      </c>
      <c r="E11" s="9">
        <v>309754.74</v>
      </c>
      <c r="F11" s="14" t="s">
        <v>3</v>
      </c>
      <c r="G11" s="1"/>
    </row>
    <row r="12" spans="1:7" x14ac:dyDescent="0.25">
      <c r="A12" s="1"/>
      <c r="B12" s="24" t="s">
        <v>290</v>
      </c>
      <c r="C12" s="21">
        <v>0</v>
      </c>
      <c r="D12" s="14" t="s">
        <v>3</v>
      </c>
      <c r="E12" s="9">
        <v>229314.47999999998</v>
      </c>
      <c r="F12" s="14" t="s">
        <v>3</v>
      </c>
      <c r="G12" s="1"/>
    </row>
    <row r="13" spans="1:7" x14ac:dyDescent="0.25">
      <c r="A13" s="1"/>
      <c r="B13" s="24" t="s">
        <v>291</v>
      </c>
      <c r="C13" s="21">
        <v>0</v>
      </c>
      <c r="D13" s="14" t="s">
        <v>3</v>
      </c>
      <c r="E13" s="9">
        <v>37526.25</v>
      </c>
      <c r="F13" s="14" t="s">
        <v>3</v>
      </c>
      <c r="G13" s="1"/>
    </row>
    <row r="14" spans="1:7" x14ac:dyDescent="0.25">
      <c r="A14" s="1"/>
      <c r="B14" s="24" t="s">
        <v>292</v>
      </c>
      <c r="C14" s="21">
        <v>0</v>
      </c>
      <c r="D14" s="14" t="s">
        <v>3</v>
      </c>
      <c r="E14" s="9">
        <v>114085.66</v>
      </c>
      <c r="F14" s="14" t="s">
        <v>3</v>
      </c>
      <c r="G14" s="1"/>
    </row>
    <row r="15" spans="1:7" x14ac:dyDescent="0.25">
      <c r="A15" s="1"/>
      <c r="B15" s="24" t="s">
        <v>293</v>
      </c>
      <c r="C15" s="21">
        <v>0</v>
      </c>
      <c r="D15" s="14" t="s">
        <v>3</v>
      </c>
      <c r="E15" s="9">
        <v>396805.58999999997</v>
      </c>
      <c r="F15" s="14" t="s">
        <v>3</v>
      </c>
      <c r="G15" s="1"/>
    </row>
    <row r="16" spans="1:7" x14ac:dyDescent="0.25">
      <c r="A16" s="1"/>
      <c r="B16" s="24" t="s">
        <v>294</v>
      </c>
      <c r="C16" s="21">
        <v>0</v>
      </c>
      <c r="D16" s="14" t="s">
        <v>3</v>
      </c>
      <c r="E16" s="9">
        <v>20931.190000000002</v>
      </c>
      <c r="F16" s="14" t="s">
        <v>3</v>
      </c>
      <c r="G16" s="1"/>
    </row>
    <row r="17" spans="1:7" x14ac:dyDescent="0.25">
      <c r="A17" s="1"/>
      <c r="B17" s="24" t="s">
        <v>295</v>
      </c>
      <c r="C17" s="21">
        <v>0</v>
      </c>
      <c r="D17" s="14" t="s">
        <v>3</v>
      </c>
      <c r="E17" s="9">
        <v>9742.31</v>
      </c>
      <c r="F17" s="14" t="s">
        <v>3</v>
      </c>
      <c r="G17" s="1"/>
    </row>
    <row r="18" spans="1:7" x14ac:dyDescent="0.25">
      <c r="A18" s="1"/>
      <c r="B18" s="24" t="s">
        <v>296</v>
      </c>
      <c r="C18" s="21">
        <v>0</v>
      </c>
      <c r="D18" s="14" t="s">
        <v>3</v>
      </c>
      <c r="E18" s="9">
        <v>97354.19</v>
      </c>
      <c r="F18" s="14" t="s">
        <v>3</v>
      </c>
      <c r="G18" s="1"/>
    </row>
    <row r="19" spans="1:7" x14ac:dyDescent="0.25">
      <c r="A19" s="1"/>
      <c r="B19" s="24" t="s">
        <v>297</v>
      </c>
      <c r="C19" s="21">
        <v>227371.32</v>
      </c>
      <c r="D19" s="14" t="s">
        <v>3</v>
      </c>
      <c r="E19" s="9">
        <v>298352.13</v>
      </c>
      <c r="F19" s="14" t="s">
        <v>3</v>
      </c>
      <c r="G19" s="1"/>
    </row>
    <row r="20" spans="1:7" x14ac:dyDescent="0.25">
      <c r="A20" s="1"/>
      <c r="B20" s="24" t="s">
        <v>298</v>
      </c>
      <c r="C20" s="21">
        <v>176844.36</v>
      </c>
      <c r="D20" s="14" t="s">
        <v>3</v>
      </c>
      <c r="E20" s="9">
        <v>86558.65</v>
      </c>
      <c r="F20" s="14" t="s">
        <v>3</v>
      </c>
      <c r="G20" s="1"/>
    </row>
    <row r="21" spans="1:7" x14ac:dyDescent="0.25">
      <c r="A21" s="1"/>
      <c r="B21" s="24" t="s">
        <v>299</v>
      </c>
      <c r="C21" s="21">
        <v>155791.46</v>
      </c>
      <c r="D21" s="14" t="s">
        <v>3</v>
      </c>
      <c r="E21" s="9">
        <v>200390.66</v>
      </c>
      <c r="F21" s="14" t="s">
        <v>3</v>
      </c>
      <c r="G21" s="1"/>
    </row>
    <row r="22" spans="1:7" x14ac:dyDescent="0.25">
      <c r="A22" s="1"/>
      <c r="B22" s="24" t="s">
        <v>300</v>
      </c>
      <c r="C22" s="21">
        <v>25263.48</v>
      </c>
      <c r="D22" s="14" t="s">
        <v>3</v>
      </c>
      <c r="E22" s="9">
        <v>50495.25</v>
      </c>
      <c r="F22" s="14" t="s">
        <v>3</v>
      </c>
      <c r="G22" s="1"/>
    </row>
    <row r="23" spans="1:7" x14ac:dyDescent="0.25">
      <c r="A23" s="1"/>
      <c r="B23" s="24" t="s">
        <v>301</v>
      </c>
      <c r="C23" s="21">
        <v>0</v>
      </c>
      <c r="D23" s="14" t="s">
        <v>3</v>
      </c>
      <c r="E23" s="9">
        <v>46412.22</v>
      </c>
      <c r="F23" s="14" t="s">
        <v>3</v>
      </c>
      <c r="G23" s="1"/>
    </row>
    <row r="24" spans="1:7" x14ac:dyDescent="0.25">
      <c r="A24" s="1"/>
      <c r="B24" s="24" t="s">
        <v>302</v>
      </c>
      <c r="C24" s="21">
        <v>65263.91</v>
      </c>
      <c r="D24" s="14" t="s">
        <v>3</v>
      </c>
      <c r="E24" s="9">
        <v>0</v>
      </c>
      <c r="F24" s="14" t="s">
        <v>3</v>
      </c>
      <c r="G24" s="1"/>
    </row>
    <row r="25" spans="1:7" x14ac:dyDescent="0.25">
      <c r="A25" s="1"/>
      <c r="B25" s="24"/>
      <c r="C25" s="21"/>
      <c r="D25" s="14" t="s">
        <v>3</v>
      </c>
      <c r="E25" s="9"/>
      <c r="F25" s="14" t="s">
        <v>3</v>
      </c>
      <c r="G25" s="1"/>
    </row>
    <row r="26" spans="1:7" x14ac:dyDescent="0.25">
      <c r="A26" s="1"/>
      <c r="B26" s="24"/>
      <c r="C26" s="21"/>
      <c r="D26" s="14" t="s">
        <v>3</v>
      </c>
      <c r="E26" s="9"/>
      <c r="F26" s="14" t="s">
        <v>3</v>
      </c>
      <c r="G26" s="1"/>
    </row>
    <row r="27" spans="1:7" x14ac:dyDescent="0.25">
      <c r="A27" s="1"/>
      <c r="B27" s="33" t="s">
        <v>144</v>
      </c>
      <c r="C27" s="12">
        <f>SUM(C10:C26)</f>
        <v>650534.53</v>
      </c>
      <c r="D27" s="13" t="s">
        <v>3</v>
      </c>
      <c r="E27" s="12">
        <f>SUM(E10:E26)</f>
        <v>1897723.3199999998</v>
      </c>
      <c r="F27" s="13" t="s">
        <v>3</v>
      </c>
      <c r="G27" s="1"/>
    </row>
    <row r="28" spans="1:7" x14ac:dyDescent="0.25">
      <c r="A28" s="1"/>
      <c r="B28" s="33" t="s">
        <v>233</v>
      </c>
      <c r="C28" s="12">
        <f>C27*(1+'Fane 15. Nøgletal'!C16)</f>
        <v>703097.72002400004</v>
      </c>
      <c r="D28" s="13" t="s">
        <v>3</v>
      </c>
      <c r="E28" s="12">
        <f>E27*(1+'Fane 15. Nøgletal'!C16)</f>
        <v>2051059.3642559997</v>
      </c>
      <c r="F28" s="13" t="s">
        <v>3</v>
      </c>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HLRVtyNBU1dl9fczzeznJAtLbmPE0mbsQZSuLva/8xEFe8TT53Kxlq8zcrXLpGcas4fJC54mZW3Tvm7cSKCWQ==" saltValue="PvIvYA8KjkAFFwuprZ5B/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260</v>
      </c>
      <c r="C8" s="115"/>
      <c r="D8" s="115"/>
      <c r="E8" s="115"/>
      <c r="F8" s="116"/>
      <c r="G8" s="1"/>
    </row>
    <row r="9" spans="1:7" x14ac:dyDescent="0.25">
      <c r="A9" s="1"/>
      <c r="B9" s="86" t="s">
        <v>17</v>
      </c>
      <c r="C9" s="86" t="s">
        <v>11</v>
      </c>
      <c r="D9" s="87"/>
      <c r="E9" s="86" t="s">
        <v>28</v>
      </c>
      <c r="F9" s="32"/>
      <c r="G9" s="1"/>
    </row>
    <row r="10" spans="1:7" x14ac:dyDescent="0.25">
      <c r="A10" s="1"/>
      <c r="B10" s="24" t="s">
        <v>303</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w9q4mPdtVlFn4Lb1qZHeiu6vh4CS7JnlsKBldK3lm95WJ0MQo0GZ4pU92wuJSq/jHcUjdxW/ZW++FMSY/Tyiw==" saltValue="TO7aph9LP1bWJ4MKH8c+V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4" t="s">
        <v>110</v>
      </c>
      <c r="C9" s="115"/>
      <c r="D9" s="115"/>
      <c r="E9" s="115"/>
      <c r="F9" s="116"/>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4" t="s">
        <v>111</v>
      </c>
      <c r="C13" s="115"/>
      <c r="D13" s="116"/>
      <c r="E13" s="12">
        <f>SUM(E10:E12)*(1+'Fane 15. Nøgletal'!C16)^2</f>
        <v>0</v>
      </c>
      <c r="F13" s="13" t="s">
        <v>3</v>
      </c>
      <c r="G13" s="1"/>
    </row>
    <row r="14" spans="1:7" x14ac:dyDescent="0.25">
      <c r="A14" s="1"/>
      <c r="B14" s="1"/>
      <c r="C14" s="1"/>
      <c r="D14" s="1"/>
      <c r="E14" s="1"/>
      <c r="F14" s="1"/>
      <c r="G14" s="1"/>
    </row>
    <row r="15" spans="1:7" ht="15" customHeight="1" x14ac:dyDescent="0.25">
      <c r="A15" s="1"/>
      <c r="B15" s="114" t="s">
        <v>124</v>
      </c>
      <c r="C15" s="115"/>
      <c r="D15" s="115"/>
      <c r="E15" s="115"/>
      <c r="F15" s="116"/>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4" t="s">
        <v>125</v>
      </c>
      <c r="C19" s="115"/>
      <c r="D19" s="116"/>
      <c r="E19" s="12">
        <f>SUM(E16:E18)*(1+'Fane 15. Nøgletal'!C16)^3</f>
        <v>0</v>
      </c>
      <c r="F19" s="13" t="s">
        <v>3</v>
      </c>
      <c r="G19" s="1"/>
    </row>
    <row r="20" spans="1:7" x14ac:dyDescent="0.25">
      <c r="A20" s="1"/>
      <c r="B20" s="1"/>
      <c r="C20" s="1"/>
      <c r="D20" s="1"/>
      <c r="E20" s="1"/>
      <c r="F20" s="1"/>
      <c r="G20" s="1"/>
    </row>
    <row r="21" spans="1:7" ht="15" customHeight="1" x14ac:dyDescent="0.25">
      <c r="A21" s="1"/>
      <c r="B21" s="114" t="s">
        <v>145</v>
      </c>
      <c r="C21" s="115"/>
      <c r="D21" s="115"/>
      <c r="E21" s="115"/>
      <c r="F21" s="116"/>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4" t="s">
        <v>146</v>
      </c>
      <c r="C25" s="115"/>
      <c r="D25" s="116"/>
      <c r="E25" s="12">
        <f>SUM(E22:E24)*(1+'Fane 15. Nøgletal'!C16)^4</f>
        <v>0</v>
      </c>
      <c r="F25" s="13" t="s">
        <v>3</v>
      </c>
      <c r="G25" s="1"/>
    </row>
    <row r="26" spans="1:7" x14ac:dyDescent="0.25">
      <c r="A26" s="1"/>
      <c r="B26" s="1"/>
      <c r="C26" s="1"/>
      <c r="D26" s="1"/>
      <c r="E26" s="1"/>
      <c r="F26" s="1"/>
      <c r="G26" s="1"/>
    </row>
    <row r="27" spans="1:7" ht="15" customHeight="1" x14ac:dyDescent="0.25">
      <c r="A27" s="1"/>
      <c r="B27" s="114" t="s">
        <v>237</v>
      </c>
      <c r="C27" s="115"/>
      <c r="D27" s="115"/>
      <c r="E27" s="115"/>
      <c r="F27" s="116"/>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4" t="s">
        <v>238</v>
      </c>
      <c r="C31" s="115"/>
      <c r="D31" s="116"/>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IxNxNwUjf08KSvEHmfHJgdN5sIrdeZxpE9VY/MVNMCK30EyQT3oJhhzWG5+Ocm6NUgjafnVfoT6v2Bd6scBGQ==" saltValue="tL3a6VZd/9JkRDpci6S1s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112</v>
      </c>
      <c r="C8" s="115"/>
      <c r="D8" s="115"/>
      <c r="E8" s="115"/>
      <c r="F8" s="116"/>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FrKhqoW9qdsTMI2WxCSZfe97Xo42jRhkjT7CyfDuGZPUgFPu2702XIl0Tk8KZ7Y8ZSrUuJ9SCuoYI+Ddo8B32w==" saltValue="BRKsJilBXD3g/7ycgzaUJ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240</v>
      </c>
      <c r="C9" s="115"/>
      <c r="D9" s="115"/>
      <c r="E9" s="115"/>
      <c r="F9" s="116"/>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G3SIExp29wSs/RolB/iywWxdwGHDyvAFzEB32L7S3dPSldjNI0krmT1B60Bmh3YyxgOCw2x0xObOssz30reLQ==" saltValue="+YsnZ2ce+UJKUYaIKY0VD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108598720.70027392</v>
      </c>
      <c r="D9" s="8" t="s">
        <v>3</v>
      </c>
      <c r="E9" s="1"/>
    </row>
    <row r="10" spans="1:5" ht="17.25" customHeight="1" x14ac:dyDescent="0.25">
      <c r="A10" s="1"/>
      <c r="B10" s="88" t="s">
        <v>36</v>
      </c>
      <c r="C10" s="7">
        <f>'Fane 11.1. Varige tillæg'!C28</f>
        <v>703097.72002400004</v>
      </c>
      <c r="D10" s="8" t="s">
        <v>3</v>
      </c>
      <c r="E10" s="1"/>
    </row>
    <row r="11" spans="1:5" ht="17.25" customHeight="1" x14ac:dyDescent="0.25">
      <c r="A11" s="1"/>
      <c r="B11" s="88" t="s">
        <v>37</v>
      </c>
      <c r="C11" s="9">
        <f>'Fane 11.1. Varige tillæg'!E28</f>
        <v>2051059.3642559997</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8997312.5249919556</v>
      </c>
      <c r="D16" s="8" t="s">
        <v>3</v>
      </c>
      <c r="E16" s="1"/>
    </row>
    <row r="17" spans="1:5" ht="17.25" customHeight="1" x14ac:dyDescent="0.25">
      <c r="A17" s="1"/>
      <c r="B17" s="88" t="s">
        <v>10</v>
      </c>
      <c r="C17" s="41">
        <f>-SUM(C9,C10:C16)*'Fane 5. Individuelt eff. krav'!G9</f>
        <v>-24187.605742440526</v>
      </c>
      <c r="D17" s="8" t="s">
        <v>3</v>
      </c>
      <c r="E17" s="1"/>
    </row>
    <row r="18" spans="1:5" ht="17.25" customHeight="1" x14ac:dyDescent="0.25">
      <c r="A18" s="1"/>
      <c r="B18" s="88" t="s">
        <v>23</v>
      </c>
      <c r="C18" s="41">
        <f>-'Fane 4.1. Gen. krav - drift'!G54</f>
        <v>-849082.43042577582</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119476920.27337766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5335371.5080812797</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-1527361</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304</v>
      </c>
      <c r="C37" s="28"/>
      <c r="D37" s="19"/>
      <c r="E37" s="1"/>
    </row>
    <row r="38" spans="1:5" x14ac:dyDescent="0.25">
      <c r="A38" s="1"/>
      <c r="B38" s="70" t="s">
        <v>305</v>
      </c>
      <c r="C38" s="10">
        <v>3770685.7033142736</v>
      </c>
      <c r="D38" s="11" t="s">
        <v>3</v>
      </c>
      <c r="E38" s="1"/>
    </row>
    <row r="39" spans="1:5" x14ac:dyDescent="0.25">
      <c r="A39" s="1"/>
      <c r="B39" s="33" t="s">
        <v>108</v>
      </c>
      <c r="C39" s="49">
        <f>SUM(C34,C32,C24,C30,C22,C20,C36,C38)</f>
        <v>127055616.48477322</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KtyfZk0zN54y9oE5LhZJ7bWmPQ/t4kEnwzNTejbRs6Re6BMoCsKdYVVW1AY/lWHXbD8Vp+TJxJJJRoGpP59uw==" saltValue="q/E6VwiWudK7nA8oNwl2X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PIO4tT7LqvE6yyVT8f8XKed4f65CDP+aTJDnd2GZAUnmPx/TfnLry1fMv2eAz8JcpJXYYck7f0Y31bAeWNuKIA==" saltValue="Dhm8v/LodS8oP9IPdi/Te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119476920.27337766</v>
      </c>
      <c r="D9" s="8" t="s">
        <v>3</v>
      </c>
      <c r="E9" s="1"/>
    </row>
    <row r="10" spans="1:5" ht="15" customHeight="1" x14ac:dyDescent="0.25">
      <c r="A10" s="1"/>
      <c r="B10" s="26" t="s">
        <v>19</v>
      </c>
      <c r="C10" s="7">
        <f>SUM(C9:C9)*'Fane 15. Nøgletal'!C16</f>
        <v>9653735.1580889151</v>
      </c>
      <c r="D10" s="8" t="s">
        <v>3</v>
      </c>
      <c r="E10" s="1"/>
    </row>
    <row r="11" spans="1:5" ht="15" customHeight="1" x14ac:dyDescent="0.25">
      <c r="A11" s="1"/>
      <c r="B11" s="26" t="s">
        <v>10</v>
      </c>
      <c r="C11" s="9">
        <f>-SUM(C9:C10)*'Fane 5. Individuelt eff. krav'!G9</f>
        <v>-25952.276226616923</v>
      </c>
      <c r="D11" s="8" t="s">
        <v>3</v>
      </c>
      <c r="E11" s="1"/>
    </row>
    <row r="12" spans="1:5" ht="15" customHeight="1" x14ac:dyDescent="0.25">
      <c r="A12" s="1"/>
      <c r="B12" s="26" t="s">
        <v>23</v>
      </c>
      <c r="C12" s="9">
        <f>-'Fane 4.1. Gen. krav - drift'!G59</f>
        <v>-899334.52498809493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128205368.63025187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5559109.0019342471</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133764477.63218611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dwn8NrzgQIXcvsBfuJJ+kW8vUpe21FcKzhNufb5EgNN/RzhJNyVrBqFgsSeFMEN42KbNsN7j1puGYqaqiDBDg==" saltValue="sqRVD771UBIFoGAgVOTjo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128205368.63025187</v>
      </c>
      <c r="D9" s="8" t="s">
        <v>3</v>
      </c>
      <c r="E9" s="1"/>
    </row>
    <row r="10" spans="1:5" ht="15" customHeight="1" x14ac:dyDescent="0.25">
      <c r="A10" s="1"/>
      <c r="B10" s="26" t="s">
        <v>19</v>
      </c>
      <c r="C10" s="7">
        <f>SUM(C9:C9)*'Fane 15. Nøgletal'!C16</f>
        <v>10358993.78532435</v>
      </c>
      <c r="D10" s="8" t="s">
        <v>3</v>
      </c>
      <c r="E10" s="1"/>
    </row>
    <row r="11" spans="1:5" ht="15" customHeight="1" x14ac:dyDescent="0.25">
      <c r="A11" s="1"/>
      <c r="B11" s="26" t="s">
        <v>10</v>
      </c>
      <c r="C11" s="9">
        <f>-SUM(C9:C10)*'Fane 5. Individuelt eff. krav'!G9</f>
        <v>-27848.233222068829</v>
      </c>
      <c r="D11" s="8" t="s">
        <v>3</v>
      </c>
      <c r="E11" s="1"/>
    </row>
    <row r="12" spans="1:5" ht="15" customHeight="1" x14ac:dyDescent="0.25">
      <c r="A12" s="1"/>
      <c r="B12" s="26" t="s">
        <v>23</v>
      </c>
      <c r="C12" s="9">
        <f>-'Fane 4.1. Gen. krav - drift'!G64</f>
        <v>-952560.73951499036</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137583953.44283918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5872637.7268905342</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143456591.16972971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ypdHGWeIE0eHSJjVJNuOKcWW/pWMUPi/utykpMX9MG2dOrYX9UdLAc0MOPkhJl9Sa1qGbxazCrgKvEhepbBGQ==" saltValue="YmvXNOqY5StKtlZ+UK/M3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137583953.44283918</v>
      </c>
      <c r="D9" s="8" t="s">
        <v>3</v>
      </c>
      <c r="E9" s="1"/>
      <c r="F9" s="1"/>
    </row>
    <row r="10" spans="1:6" ht="15" customHeight="1" x14ac:dyDescent="0.25">
      <c r="A10" s="1"/>
      <c r="B10" s="26" t="s">
        <v>19</v>
      </c>
      <c r="C10" s="7">
        <f>SUM(C9:C9)*'Fane 15. Nøgletal'!C16</f>
        <v>11116783.438181404</v>
      </c>
      <c r="D10" s="8" t="s">
        <v>3</v>
      </c>
      <c r="E10" s="1"/>
      <c r="F10" s="1"/>
    </row>
    <row r="11" spans="1:6" ht="15" customHeight="1" x14ac:dyDescent="0.25">
      <c r="A11" s="1"/>
      <c r="B11" s="26" t="s">
        <v>10</v>
      </c>
      <c r="C11" s="9">
        <f>-SUM(C9:C10)*'Fane 5. Individuelt eff. krav'!G9</f>
        <v>-29885.410135518734</v>
      </c>
      <c r="D11" s="8" t="s">
        <v>3</v>
      </c>
      <c r="E11" s="1"/>
      <c r="F11" s="1"/>
    </row>
    <row r="12" spans="1:6" ht="15" customHeight="1" x14ac:dyDescent="0.25">
      <c r="A12" s="1"/>
      <c r="B12" s="26" t="s">
        <v>23</v>
      </c>
      <c r="C12" s="9">
        <f>-'Fane 4.1. Gen. krav - drift'!G69</f>
        <v>-1008937.0943224455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147661914.37656263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6211499.5728232889</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153873413.94938591</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fdyZMnhrDeIJ5ay3FclncK4GTUZ8l7uzMS/q1jhxnUfAGivhCXunErods2GRpd4umL+NtAKlmdHu3lf0H4bhAg==" saltValue="pZmToAe4uV/NC8eADY1GI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109824123.77679379</v>
      </c>
      <c r="D9" s="8" t="s">
        <v>3</v>
      </c>
      <c r="E9" s="1"/>
    </row>
    <row r="10" spans="1:5" x14ac:dyDescent="0.25">
      <c r="A10" s="1"/>
      <c r="B10" s="88" t="s">
        <v>36</v>
      </c>
      <c r="C10" s="7">
        <v>1245477.8028000002</v>
      </c>
      <c r="D10" s="8" t="s">
        <v>3</v>
      </c>
      <c r="E10" s="1"/>
    </row>
    <row r="11" spans="1:5" x14ac:dyDescent="0.25">
      <c r="A11" s="1"/>
      <c r="B11" s="88" t="s">
        <v>37</v>
      </c>
      <c r="C11" s="9">
        <v>1271673.3890978401</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452030.19089498266</v>
      </c>
      <c r="D16" s="8" t="s">
        <v>3</v>
      </c>
      <c r="E16" s="1"/>
    </row>
    <row r="17" spans="1:5" x14ac:dyDescent="0.25">
      <c r="A17" s="1"/>
      <c r="B17" s="88" t="s">
        <v>10</v>
      </c>
      <c r="C17" s="41">
        <v>-2255866.1031917324</v>
      </c>
      <c r="D17" s="8" t="s">
        <v>3</v>
      </c>
      <c r="E17" s="1"/>
    </row>
    <row r="18" spans="1:5" x14ac:dyDescent="0.25">
      <c r="A18" s="1"/>
      <c r="B18" s="88" t="s">
        <v>23</v>
      </c>
      <c r="C18" s="41">
        <v>-787289.3379334819</v>
      </c>
      <c r="D18" s="8" t="s">
        <v>3</v>
      </c>
      <c r="E18" s="1"/>
    </row>
    <row r="19" spans="1:5" x14ac:dyDescent="0.25">
      <c r="A19" s="1"/>
      <c r="B19" s="88" t="s">
        <v>24</v>
      </c>
      <c r="C19" s="41">
        <v>-1151429.0181874759</v>
      </c>
      <c r="D19" s="8" t="s">
        <v>3</v>
      </c>
      <c r="E19" s="47"/>
    </row>
    <row r="20" spans="1:5" x14ac:dyDescent="0.25">
      <c r="A20" s="1"/>
      <c r="B20" s="82" t="s">
        <v>21</v>
      </c>
      <c r="C20" s="10">
        <v>108598720.70027392</v>
      </c>
      <c r="D20" s="11" t="s">
        <v>3</v>
      </c>
      <c r="E20" s="1"/>
    </row>
    <row r="21" spans="1:5" x14ac:dyDescent="0.25">
      <c r="A21" s="1"/>
      <c r="B21" s="33" t="s">
        <v>12</v>
      </c>
      <c r="C21" s="28"/>
      <c r="D21" s="19"/>
      <c r="E21" s="1"/>
    </row>
    <row r="22" spans="1:5" x14ac:dyDescent="0.25">
      <c r="A22" s="1"/>
      <c r="B22" s="31" t="s">
        <v>12</v>
      </c>
      <c r="C22" s="10">
        <v>5982152.2822478404</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-1527361</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113053511.98252176</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Df06H5tIAotxL/GS5+wzJfjounaatWfzNIC4g9YH2g98p5XZLoPd4W0RkHjQX2T+FxX1FDrCODpQnDjGH/vPQ==" saltValue="nmwDXLYXQNrPb6+gowczL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4" t="s">
        <v>46</v>
      </c>
      <c r="C4" s="115"/>
      <c r="D4" s="115"/>
      <c r="E4" s="115"/>
      <c r="F4" s="115"/>
      <c r="G4" s="115"/>
      <c r="H4" s="116"/>
      <c r="I4" s="1"/>
    </row>
    <row r="5" spans="1:9" x14ac:dyDescent="0.25">
      <c r="A5" s="1"/>
      <c r="B5" s="117" t="s">
        <v>38</v>
      </c>
      <c r="C5" s="118"/>
      <c r="D5" s="118"/>
      <c r="E5" s="118"/>
      <c r="F5" s="119"/>
      <c r="G5" s="63">
        <v>37929744.954657242</v>
      </c>
      <c r="H5" s="14" t="s">
        <v>3</v>
      </c>
      <c r="I5" s="1"/>
    </row>
    <row r="6" spans="1:9" x14ac:dyDescent="0.25">
      <c r="A6" s="1"/>
      <c r="B6" s="126" t="s">
        <v>102</v>
      </c>
      <c r="C6" s="127"/>
      <c r="D6" s="127"/>
      <c r="E6" s="127"/>
      <c r="F6" s="128"/>
      <c r="G6" s="66">
        <v>0</v>
      </c>
      <c r="H6" s="14" t="s">
        <v>3</v>
      </c>
      <c r="I6" s="1"/>
    </row>
    <row r="7" spans="1:9" x14ac:dyDescent="0.25">
      <c r="A7" s="1"/>
      <c r="B7" s="117" t="s">
        <v>39</v>
      </c>
      <c r="C7" s="118"/>
      <c r="D7" s="118"/>
      <c r="E7" s="118"/>
      <c r="F7" s="119"/>
      <c r="G7" s="23">
        <f>SUM(G5:G6)*'Fane 15. Nøgletal'!C33</f>
        <v>758594.89909314481</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4" t="s">
        <v>47</v>
      </c>
      <c r="C10" s="115"/>
      <c r="D10" s="115"/>
      <c r="E10" s="115"/>
      <c r="F10" s="115"/>
      <c r="G10" s="115"/>
      <c r="H10" s="116"/>
      <c r="I10" s="1"/>
    </row>
    <row r="11" spans="1:9" x14ac:dyDescent="0.25">
      <c r="A11" s="1"/>
      <c r="B11" s="117" t="s">
        <v>40</v>
      </c>
      <c r="C11" s="118"/>
      <c r="D11" s="118"/>
      <c r="E11" s="118"/>
      <c r="F11" s="119"/>
      <c r="G11" s="23">
        <f>(G5-G7)*(1+'Fane 15. Nøgletal'!C10)</f>
        <v>37821645.181536473</v>
      </c>
      <c r="H11" s="14" t="s">
        <v>3</v>
      </c>
      <c r="I11" s="1"/>
    </row>
    <row r="12" spans="1:9" ht="15" customHeight="1" x14ac:dyDescent="0.25">
      <c r="A12" s="1"/>
      <c r="B12" s="117" t="s">
        <v>103</v>
      </c>
      <c r="C12" s="118"/>
      <c r="D12" s="118"/>
      <c r="E12" s="118"/>
      <c r="F12" s="119"/>
      <c r="G12" s="66">
        <v>-69016.65188274892</v>
      </c>
      <c r="H12" s="14" t="s">
        <v>3</v>
      </c>
      <c r="I12" s="1"/>
    </row>
    <row r="13" spans="1:9" x14ac:dyDescent="0.25">
      <c r="A13" s="1"/>
      <c r="B13" s="126" t="s">
        <v>100</v>
      </c>
      <c r="C13" s="127"/>
      <c r="D13" s="127"/>
      <c r="E13" s="127"/>
      <c r="F13" s="128"/>
      <c r="G13" s="66">
        <v>0</v>
      </c>
      <c r="H13" s="14" t="s">
        <v>3</v>
      </c>
      <c r="I13" s="1"/>
    </row>
    <row r="14" spans="1:9" x14ac:dyDescent="0.25">
      <c r="A14" s="1"/>
      <c r="B14" s="123" t="s">
        <v>244</v>
      </c>
      <c r="C14" s="124"/>
      <c r="D14" s="124"/>
      <c r="E14" s="124"/>
      <c r="F14" s="125"/>
      <c r="G14" s="66">
        <v>0</v>
      </c>
      <c r="H14" s="14" t="s">
        <v>3</v>
      </c>
      <c r="I14" s="1"/>
    </row>
    <row r="15" spans="1:9" x14ac:dyDescent="0.25">
      <c r="A15" s="1"/>
      <c r="B15" s="117" t="s">
        <v>41</v>
      </c>
      <c r="C15" s="118"/>
      <c r="D15" s="118"/>
      <c r="E15" s="118"/>
      <c r="F15" s="119"/>
      <c r="G15" s="23">
        <f>SUM(G11:G14)*'Fane 15. Nøgletal'!C33</f>
        <v>755052.57059307455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4" t="s">
        <v>48</v>
      </c>
      <c r="C18" s="115"/>
      <c r="D18" s="115"/>
      <c r="E18" s="115"/>
      <c r="F18" s="115"/>
      <c r="G18" s="115"/>
      <c r="H18" s="116"/>
      <c r="I18" s="1"/>
    </row>
    <row r="19" spans="1:9" x14ac:dyDescent="0.25">
      <c r="A19" s="1"/>
      <c r="B19" s="117" t="s">
        <v>42</v>
      </c>
      <c r="C19" s="118"/>
      <c r="D19" s="118"/>
      <c r="E19" s="118"/>
      <c r="F19" s="119"/>
      <c r="G19" s="23">
        <f>(SUM(G11:G12,G14)-(G15))*(1+'Fane 15. Nøgletal'!C10)</f>
        <v>37645033.538344219</v>
      </c>
      <c r="H19" s="14" t="s">
        <v>3</v>
      </c>
      <c r="I19" s="1"/>
    </row>
    <row r="20" spans="1:9" x14ac:dyDescent="0.25">
      <c r="A20" s="1"/>
      <c r="B20" s="123" t="s">
        <v>245</v>
      </c>
      <c r="C20" s="124"/>
      <c r="D20" s="124"/>
      <c r="E20" s="124"/>
      <c r="F20" s="125"/>
      <c r="G20" s="66">
        <v>0</v>
      </c>
      <c r="H20" s="14" t="s">
        <v>3</v>
      </c>
      <c r="I20" s="1"/>
    </row>
    <row r="21" spans="1:9" x14ac:dyDescent="0.25">
      <c r="A21" s="1"/>
      <c r="B21" s="117" t="s">
        <v>43</v>
      </c>
      <c r="C21" s="118"/>
      <c r="D21" s="118"/>
      <c r="E21" s="118"/>
      <c r="F21" s="119"/>
      <c r="G21" s="23">
        <f>SUM(G19:G20)*'Fane 15. Nøgletal'!C33</f>
        <v>752900.67076688434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4" t="s">
        <v>49</v>
      </c>
      <c r="C24" s="115"/>
      <c r="D24" s="115"/>
      <c r="E24" s="115"/>
      <c r="F24" s="115"/>
      <c r="G24" s="115"/>
      <c r="H24" s="116"/>
      <c r="I24" s="1"/>
    </row>
    <row r="25" spans="1:9" x14ac:dyDescent="0.25">
      <c r="A25" s="1"/>
      <c r="B25" s="117" t="s">
        <v>44</v>
      </c>
      <c r="C25" s="118"/>
      <c r="D25" s="118"/>
      <c r="E25" s="118"/>
      <c r="F25" s="119"/>
      <c r="G25" s="23">
        <f>(G19+G20-G21)*(1+'Fane 15. Nøgletal'!C12)</f>
        <v>37618907.88506861</v>
      </c>
      <c r="H25" s="14" t="s">
        <v>3</v>
      </c>
      <c r="I25" s="1"/>
    </row>
    <row r="26" spans="1:9" x14ac:dyDescent="0.25">
      <c r="A26" s="1"/>
      <c r="B26" s="123" t="s">
        <v>246</v>
      </c>
      <c r="C26" s="124"/>
      <c r="D26" s="124"/>
      <c r="E26" s="124"/>
      <c r="F26" s="125"/>
      <c r="G26" s="66">
        <v>838837.60393851006</v>
      </c>
      <c r="H26" s="14" t="s">
        <v>3</v>
      </c>
      <c r="I26" s="1"/>
    </row>
    <row r="27" spans="1:9" x14ac:dyDescent="0.25">
      <c r="A27" s="1"/>
      <c r="B27" s="117" t="s">
        <v>45</v>
      </c>
      <c r="C27" s="118"/>
      <c r="D27" s="118"/>
      <c r="E27" s="118"/>
      <c r="F27" s="119"/>
      <c r="G27" s="23">
        <f>(G25+G26)*'Fane 15. Nøgletal'!C33</f>
        <v>769154.90978014248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4" t="s">
        <v>52</v>
      </c>
      <c r="C30" s="115"/>
      <c r="D30" s="115"/>
      <c r="E30" s="115"/>
      <c r="F30" s="115"/>
      <c r="G30" s="115"/>
      <c r="H30" s="116"/>
      <c r="I30" s="1"/>
    </row>
    <row r="31" spans="1:9" x14ac:dyDescent="0.25">
      <c r="A31" s="1"/>
      <c r="B31" s="117" t="s">
        <v>53</v>
      </c>
      <c r="C31" s="118"/>
      <c r="D31" s="118"/>
      <c r="E31" s="118"/>
      <c r="F31" s="119"/>
      <c r="G31" s="23">
        <f>(G25+G26-G27)*(1+'Fane 15. Nøgletal'!C12)</f>
        <v>38431055.813637748</v>
      </c>
      <c r="H31" s="14" t="s">
        <v>3</v>
      </c>
      <c r="I31" s="1"/>
    </row>
    <row r="32" spans="1:9" x14ac:dyDescent="0.25">
      <c r="A32" s="1"/>
      <c r="B32" s="117" t="s">
        <v>243</v>
      </c>
      <c r="C32" s="118"/>
      <c r="D32" s="118"/>
      <c r="E32" s="118"/>
      <c r="F32" s="119"/>
      <c r="G32" s="63">
        <v>739630.00398672</v>
      </c>
      <c r="H32" s="14" t="s">
        <v>3</v>
      </c>
      <c r="I32" s="1"/>
    </row>
    <row r="33" spans="1:9" x14ac:dyDescent="0.25">
      <c r="A33" s="1"/>
      <c r="B33" s="117" t="s">
        <v>54</v>
      </c>
      <c r="C33" s="118"/>
      <c r="D33" s="118"/>
      <c r="E33" s="118"/>
      <c r="F33" s="119"/>
      <c r="G33" s="23">
        <f>(G31+G32)*'Fane 15. Nøgletal'!C33</f>
        <v>783413.71635248931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4" t="s">
        <v>126</v>
      </c>
      <c r="C36" s="115"/>
      <c r="D36" s="115"/>
      <c r="E36" s="115"/>
      <c r="F36" s="115"/>
      <c r="G36" s="115"/>
      <c r="H36" s="116"/>
      <c r="I36" s="1"/>
    </row>
    <row r="37" spans="1:9" x14ac:dyDescent="0.25">
      <c r="A37" s="1"/>
      <c r="B37" s="117" t="s">
        <v>68</v>
      </c>
      <c r="C37" s="118"/>
      <c r="D37" s="118"/>
      <c r="E37" s="118"/>
      <c r="F37" s="119"/>
      <c r="G37" s="23">
        <f>(G31+G32-G33)*(1+'Fane 15. Nøgletal'!C14)</f>
        <v>38513950.099206172</v>
      </c>
      <c r="H37" s="14" t="s">
        <v>3</v>
      </c>
      <c r="I37" s="1"/>
    </row>
    <row r="38" spans="1:9" x14ac:dyDescent="0.25">
      <c r="A38" s="1"/>
      <c r="B38" s="117" t="s">
        <v>242</v>
      </c>
      <c r="C38" s="118"/>
      <c r="D38" s="118"/>
      <c r="E38" s="118"/>
      <c r="F38" s="119"/>
      <c r="G38" s="63">
        <v>209944.80688374004</v>
      </c>
      <c r="H38" s="14" t="s">
        <v>3</v>
      </c>
      <c r="I38" s="1"/>
    </row>
    <row r="39" spans="1:9" x14ac:dyDescent="0.25">
      <c r="A39" s="1"/>
      <c r="B39" s="117" t="s">
        <v>128</v>
      </c>
      <c r="C39" s="118"/>
      <c r="D39" s="118"/>
      <c r="E39" s="118"/>
      <c r="F39" s="119"/>
      <c r="G39" s="23">
        <f>(G37+G38)*'Fane 15. Nøgletal'!C33</f>
        <v>774477.89812179818</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4" t="s">
        <v>127</v>
      </c>
      <c r="C42" s="115"/>
      <c r="D42" s="115"/>
      <c r="E42" s="115"/>
      <c r="F42" s="115"/>
      <c r="G42" s="115"/>
      <c r="H42" s="116"/>
      <c r="I42" s="1"/>
    </row>
    <row r="43" spans="1:9" x14ac:dyDescent="0.25">
      <c r="A43" s="1"/>
      <c r="B43" s="117" t="s">
        <v>155</v>
      </c>
      <c r="C43" s="118"/>
      <c r="D43" s="118"/>
      <c r="E43" s="118"/>
      <c r="F43" s="119"/>
      <c r="G43" s="23">
        <f>(G37+G38-G39)*(1+'Fane 15. Nøgletal'!C14)</f>
        <v>38074650.084094413</v>
      </c>
      <c r="H43" s="14" t="s">
        <v>3</v>
      </c>
      <c r="I43" s="1"/>
    </row>
    <row r="44" spans="1:9" x14ac:dyDescent="0.25">
      <c r="A44" s="1"/>
      <c r="B44" s="120" t="s">
        <v>157</v>
      </c>
      <c r="C44" s="121"/>
      <c r="D44" s="121"/>
      <c r="E44" s="121"/>
      <c r="F44" s="122"/>
      <c r="G44" s="45">
        <v>1289816.8125796802</v>
      </c>
      <c r="H44" s="14" t="s">
        <v>3</v>
      </c>
      <c r="I44" s="1"/>
    </row>
    <row r="45" spans="1:9" x14ac:dyDescent="0.25">
      <c r="A45" s="1"/>
      <c r="B45" s="117" t="s">
        <v>129</v>
      </c>
      <c r="C45" s="118"/>
      <c r="D45" s="118"/>
      <c r="E45" s="118"/>
      <c r="F45" s="119"/>
      <c r="G45" s="23">
        <f>SUM(G43:G44)*'Fane 15. Nøgletal'!C33</f>
        <v>787289.3379334819</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4" t="s">
        <v>192</v>
      </c>
      <c r="C51" s="115"/>
      <c r="D51" s="115"/>
      <c r="E51" s="115"/>
      <c r="F51" s="115"/>
      <c r="G51" s="115"/>
      <c r="H51" s="116"/>
      <c r="I51" s="1"/>
    </row>
    <row r="52" spans="1:9" x14ac:dyDescent="0.25">
      <c r="A52" s="1"/>
      <c r="B52" s="117" t="s">
        <v>154</v>
      </c>
      <c r="C52" s="118"/>
      <c r="D52" s="118"/>
      <c r="E52" s="118"/>
      <c r="F52" s="119"/>
      <c r="G52" s="23">
        <f>(G43+G44-G45)*(1+'Fane 15. Nøgletal'!C16)</f>
        <v>41694213.505486853</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759908.01580193918</v>
      </c>
      <c r="H53" s="14" t="s">
        <v>3</v>
      </c>
      <c r="I53" s="1"/>
    </row>
    <row r="54" spans="1:9" x14ac:dyDescent="0.25">
      <c r="A54" s="1"/>
      <c r="B54" s="117" t="s">
        <v>210</v>
      </c>
      <c r="C54" s="118"/>
      <c r="D54" s="118"/>
      <c r="E54" s="118"/>
      <c r="F54" s="119"/>
      <c r="G54" s="23">
        <f>(G52)*'Fane 15. Nøgletal'!C33+(G53)*'Fane 15. Nøgletal'!C33</f>
        <v>849082.43042577582</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4" t="s">
        <v>193</v>
      </c>
      <c r="C57" s="115"/>
      <c r="D57" s="115"/>
      <c r="E57" s="115"/>
      <c r="F57" s="115"/>
      <c r="G57" s="115"/>
      <c r="H57" s="116"/>
      <c r="I57" s="1"/>
    </row>
    <row r="58" spans="1:9" x14ac:dyDescent="0.25">
      <c r="A58" s="1"/>
      <c r="B58" s="78" t="s">
        <v>212</v>
      </c>
      <c r="C58" s="79"/>
      <c r="D58" s="79"/>
      <c r="E58" s="79"/>
      <c r="F58" s="80"/>
      <c r="G58" s="23">
        <f>(G52+G53-G54)*(1+'Fane 15. Nøgletal'!C16)</f>
        <v>44966726.249404743</v>
      </c>
      <c r="H58" s="14" t="s">
        <v>3</v>
      </c>
      <c r="I58" s="1"/>
    </row>
    <row r="59" spans="1:9" x14ac:dyDescent="0.25">
      <c r="A59" s="1"/>
      <c r="B59" s="78" t="s">
        <v>211</v>
      </c>
      <c r="C59" s="79"/>
      <c r="D59" s="79"/>
      <c r="E59" s="79"/>
      <c r="F59" s="80"/>
      <c r="G59" s="23">
        <f>(G58)*'Fane 15. Nøgletal'!C33</f>
        <v>899334.52498809493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4" t="s">
        <v>256</v>
      </c>
      <c r="C62" s="115"/>
      <c r="D62" s="115"/>
      <c r="E62" s="115"/>
      <c r="F62" s="115"/>
      <c r="G62" s="115"/>
      <c r="H62" s="116"/>
      <c r="I62" s="1"/>
    </row>
    <row r="63" spans="1:9" x14ac:dyDescent="0.25">
      <c r="A63" s="1"/>
      <c r="B63" s="78" t="s">
        <v>213</v>
      </c>
      <c r="C63" s="79"/>
      <c r="D63" s="79"/>
      <c r="E63" s="79"/>
      <c r="F63" s="80"/>
      <c r="G63" s="23">
        <f>(G58-G59)*(1+'Fane 15. Nøgletal'!C16)</f>
        <v>47628036.975749515</v>
      </c>
      <c r="H63" s="14" t="s">
        <v>3</v>
      </c>
      <c r="I63" s="1"/>
    </row>
    <row r="64" spans="1:9" x14ac:dyDescent="0.25">
      <c r="A64" s="1"/>
      <c r="B64" s="78" t="s">
        <v>214</v>
      </c>
      <c r="C64" s="79"/>
      <c r="D64" s="79"/>
      <c r="E64" s="79"/>
      <c r="F64" s="80"/>
      <c r="G64" s="23">
        <f>(G63)*'Fane 15. Nøgletal'!C33</f>
        <v>952560.73951499036</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4" t="s">
        <v>257</v>
      </c>
      <c r="C67" s="115"/>
      <c r="D67" s="115"/>
      <c r="E67" s="115"/>
      <c r="F67" s="115"/>
      <c r="G67" s="115"/>
      <c r="H67" s="116"/>
      <c r="I67" s="1"/>
    </row>
    <row r="68" spans="1:9" x14ac:dyDescent="0.25">
      <c r="A68" s="1"/>
      <c r="B68" s="78" t="s">
        <v>213</v>
      </c>
      <c r="C68" s="79"/>
      <c r="D68" s="79"/>
      <c r="E68" s="79"/>
      <c r="F68" s="80"/>
      <c r="G68" s="23">
        <f>(G63-G64)*(1+'Fane 15. Nøgletal'!C16)</f>
        <v>50446854.71612227</v>
      </c>
      <c r="H68" s="14" t="s">
        <v>3</v>
      </c>
      <c r="I68" s="1"/>
    </row>
    <row r="69" spans="1:9" x14ac:dyDescent="0.25">
      <c r="A69" s="1"/>
      <c r="B69" s="78" t="s">
        <v>214</v>
      </c>
      <c r="C69" s="79"/>
      <c r="D69" s="79"/>
      <c r="E69" s="79"/>
      <c r="F69" s="80"/>
      <c r="G69" s="23">
        <f>(G68)*'Fane 15. Nøgletal'!C33</f>
        <v>1008937.0943224455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OQMARDOHIRl/IRcyxLk2+kY99j5BRDaR+c47qVH9I4mDGJIEKuBH8g0VxFyx1/1gGq/MW3G3JZcwCon14FIltw==" saltValue="UTZp5I2mqCvQ0tOi1qzmsA=="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4" t="s">
        <v>50</v>
      </c>
      <c r="C4" s="115"/>
      <c r="D4" s="115"/>
      <c r="E4" s="115"/>
      <c r="F4" s="115"/>
      <c r="G4" s="115"/>
      <c r="H4" s="116"/>
      <c r="I4" s="1"/>
    </row>
    <row r="5" spans="1:9" x14ac:dyDescent="0.25">
      <c r="A5" s="1"/>
      <c r="B5" s="117" t="s">
        <v>55</v>
      </c>
      <c r="C5" s="118"/>
      <c r="D5" s="118"/>
      <c r="E5" s="118"/>
      <c r="F5" s="119"/>
      <c r="G5" s="63">
        <v>54065227.474607795</v>
      </c>
      <c r="H5" s="14" t="s">
        <v>3</v>
      </c>
      <c r="I5" s="1"/>
    </row>
    <row r="6" spans="1:9" x14ac:dyDescent="0.25">
      <c r="A6" s="1"/>
      <c r="B6" s="117" t="s">
        <v>51</v>
      </c>
      <c r="C6" s="118"/>
      <c r="D6" s="118"/>
      <c r="E6" s="118"/>
      <c r="F6" s="119"/>
      <c r="G6" s="23">
        <f>G5*'Fane 15. Nøgletal'!C21</f>
        <v>491993.57001893094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4" t="s">
        <v>56</v>
      </c>
      <c r="C9" s="115"/>
      <c r="D9" s="115"/>
      <c r="E9" s="115"/>
      <c r="F9" s="115"/>
      <c r="G9" s="115"/>
      <c r="H9" s="116"/>
      <c r="I9" s="1"/>
    </row>
    <row r="10" spans="1:9" x14ac:dyDescent="0.25">
      <c r="A10" s="1"/>
      <c r="B10" s="117" t="s">
        <v>57</v>
      </c>
      <c r="C10" s="118"/>
      <c r="D10" s="118"/>
      <c r="E10" s="118"/>
      <c r="F10" s="119"/>
      <c r="G10" s="23">
        <f>(G5-G6)*(1+'Fane 15. Nøgletal'!C10)</f>
        <v>54510765.497919172</v>
      </c>
      <c r="H10" s="14" t="s">
        <v>3</v>
      </c>
      <c r="I10" s="1"/>
    </row>
    <row r="11" spans="1:9" x14ac:dyDescent="0.25">
      <c r="A11" s="1"/>
      <c r="B11" s="117" t="s">
        <v>104</v>
      </c>
      <c r="C11" s="118"/>
      <c r="D11" s="118"/>
      <c r="E11" s="118"/>
      <c r="F11" s="119"/>
      <c r="G11" s="63">
        <v>-2810114.2985806675</v>
      </c>
      <c r="H11" s="14" t="s">
        <v>3</v>
      </c>
      <c r="I11" s="1"/>
    </row>
    <row r="12" spans="1:9" x14ac:dyDescent="0.25">
      <c r="A12" s="1"/>
      <c r="B12" s="123" t="s">
        <v>247</v>
      </c>
      <c r="C12" s="124"/>
      <c r="D12" s="124"/>
      <c r="E12" s="124"/>
      <c r="F12" s="125"/>
      <c r="G12" s="66">
        <v>0</v>
      </c>
      <c r="H12" s="14" t="s">
        <v>3</v>
      </c>
      <c r="I12" s="1"/>
    </row>
    <row r="13" spans="1:9" x14ac:dyDescent="0.25">
      <c r="A13" s="1"/>
      <c r="B13" s="117" t="s">
        <v>58</v>
      </c>
      <c r="C13" s="118"/>
      <c r="D13" s="118"/>
      <c r="E13" s="118"/>
      <c r="F13" s="119"/>
      <c r="G13" s="23">
        <f>SUM(G10:G12)*'Fane 15. Nøgletal'!C22</f>
        <v>915101.52622829156</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4" t="s">
        <v>59</v>
      </c>
      <c r="C16" s="115"/>
      <c r="D16" s="115"/>
      <c r="E16" s="115"/>
      <c r="F16" s="115"/>
      <c r="G16" s="115"/>
      <c r="H16" s="116"/>
      <c r="I16" s="1"/>
    </row>
    <row r="17" spans="1:9" x14ac:dyDescent="0.25">
      <c r="A17" s="1"/>
      <c r="B17" s="117" t="s">
        <v>60</v>
      </c>
      <c r="C17" s="118"/>
      <c r="D17" s="118"/>
      <c r="E17" s="118"/>
      <c r="F17" s="119"/>
      <c r="G17" s="23">
        <f>(SUM(G10:G12)-G13)*(1+'Fane 15. Nøgletal'!C10)</f>
        <v>51674296.792389639</v>
      </c>
      <c r="H17" s="14" t="s">
        <v>3</v>
      </c>
      <c r="I17" s="1"/>
    </row>
    <row r="18" spans="1:9" x14ac:dyDescent="0.25">
      <c r="A18" s="1"/>
      <c r="B18" s="123" t="s">
        <v>248</v>
      </c>
      <c r="C18" s="124"/>
      <c r="D18" s="124"/>
      <c r="E18" s="124"/>
      <c r="F18" s="125"/>
      <c r="G18" s="63">
        <v>178057.13301467997</v>
      </c>
      <c r="H18" s="14" t="s">
        <v>3</v>
      </c>
      <c r="I18" s="1"/>
    </row>
    <row r="19" spans="1:9" x14ac:dyDescent="0.25">
      <c r="A19" s="1"/>
      <c r="B19" s="117" t="s">
        <v>61</v>
      </c>
      <c r="C19" s="118"/>
      <c r="D19" s="118"/>
      <c r="E19" s="118"/>
      <c r="F19" s="119"/>
      <c r="G19" s="23">
        <f>G17*'Fane 15. Nøgletal'!C22+G18*'Fane 15. Nøgletal'!C23</f>
        <v>916184.15028252441</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4" t="s">
        <v>62</v>
      </c>
      <c r="C22" s="115"/>
      <c r="D22" s="115"/>
      <c r="E22" s="115"/>
      <c r="F22" s="115"/>
      <c r="G22" s="115"/>
      <c r="H22" s="116"/>
      <c r="I22" s="1"/>
    </row>
    <row r="23" spans="1:9" x14ac:dyDescent="0.25">
      <c r="A23" s="1"/>
      <c r="B23" s="117" t="s">
        <v>63</v>
      </c>
      <c r="C23" s="118"/>
      <c r="D23" s="118"/>
      <c r="E23" s="118"/>
      <c r="F23" s="119"/>
      <c r="G23" s="23">
        <f>(G17+G18-G19)*(1+'Fane 15. Nøgletal'!C12)</f>
        <v>51939612.319691695</v>
      </c>
      <c r="H23" s="14" t="s">
        <v>3</v>
      </c>
      <c r="I23" s="1"/>
    </row>
    <row r="24" spans="1:9" x14ac:dyDescent="0.25">
      <c r="A24" s="1"/>
      <c r="B24" s="123" t="s">
        <v>249</v>
      </c>
      <c r="C24" s="124"/>
      <c r="D24" s="124"/>
      <c r="E24" s="124"/>
      <c r="F24" s="125"/>
      <c r="G24" s="63">
        <v>8814303.9624720421</v>
      </c>
      <c r="H24" s="14" t="s">
        <v>3</v>
      </c>
      <c r="I24" s="1"/>
    </row>
    <row r="25" spans="1:9" x14ac:dyDescent="0.25">
      <c r="A25" s="1"/>
      <c r="B25" s="117" t="s">
        <v>64</v>
      </c>
      <c r="C25" s="118"/>
      <c r="D25" s="118"/>
      <c r="E25" s="118"/>
      <c r="F25" s="119"/>
      <c r="G25" s="23">
        <f>(G23+G24)*'Fane 15. Nøgletal'!C24</f>
        <v>1725411.2224134502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4" t="s">
        <v>65</v>
      </c>
      <c r="C28" s="115"/>
      <c r="D28" s="115"/>
      <c r="E28" s="115"/>
      <c r="F28" s="115"/>
      <c r="G28" s="115"/>
      <c r="H28" s="116"/>
      <c r="I28" s="1"/>
    </row>
    <row r="29" spans="1:9" x14ac:dyDescent="0.25">
      <c r="A29" s="1"/>
      <c r="B29" s="117" t="s">
        <v>66</v>
      </c>
      <c r="C29" s="118"/>
      <c r="D29" s="118"/>
      <c r="E29" s="118"/>
      <c r="F29" s="119"/>
      <c r="G29" s="23">
        <f>(G23+G24-G25)*(1+'Fane 15. Nøgletal'!C12)</f>
        <v>60191366.60942737</v>
      </c>
      <c r="H29" s="14" t="s">
        <v>3</v>
      </c>
      <c r="I29" s="1"/>
    </row>
    <row r="30" spans="1:9" x14ac:dyDescent="0.25">
      <c r="A30" s="1"/>
      <c r="B30" s="117" t="s">
        <v>250</v>
      </c>
      <c r="C30" s="118"/>
      <c r="D30" s="118"/>
      <c r="E30" s="118"/>
      <c r="F30" s="119"/>
      <c r="G30" s="63">
        <v>18940252.461338878</v>
      </c>
      <c r="H30" s="14" t="s">
        <v>3</v>
      </c>
      <c r="I30" s="1"/>
    </row>
    <row r="31" spans="1:9" x14ac:dyDescent="0.25">
      <c r="A31" s="1"/>
      <c r="B31" s="117" t="s">
        <v>67</v>
      </c>
      <c r="C31" s="118"/>
      <c r="D31" s="118"/>
      <c r="E31" s="118"/>
      <c r="F31" s="119"/>
      <c r="G31" s="23">
        <f>G29*'Fane 15. Nøgletal'!C24+G30*'Fane 15. Nøgletal'!C25</f>
        <v>2230291.7543945564</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4" t="s">
        <v>130</v>
      </c>
      <c r="C34" s="115"/>
      <c r="D34" s="115"/>
      <c r="E34" s="115"/>
      <c r="F34" s="115"/>
      <c r="G34" s="115"/>
      <c r="H34" s="116"/>
      <c r="I34" s="1"/>
    </row>
    <row r="35" spans="1:9" x14ac:dyDescent="0.25">
      <c r="A35" s="1"/>
      <c r="B35" s="117" t="s">
        <v>215</v>
      </c>
      <c r="C35" s="118"/>
      <c r="D35" s="118"/>
      <c r="E35" s="118"/>
      <c r="F35" s="119"/>
      <c r="G35" s="23">
        <f>(G29+G30-G31)*(1+'Fane 15. Nøgletal'!C14)</f>
        <v>77155101.696515709</v>
      </c>
      <c r="H35" s="14" t="s">
        <v>3</v>
      </c>
      <c r="I35" s="1"/>
    </row>
    <row r="36" spans="1:9" x14ac:dyDescent="0.25">
      <c r="A36" s="1"/>
      <c r="B36" s="117" t="s">
        <v>251</v>
      </c>
      <c r="C36" s="118"/>
      <c r="D36" s="118"/>
      <c r="E36" s="118"/>
      <c r="F36" s="119"/>
      <c r="G36" s="63">
        <v>1553145.2396710503</v>
      </c>
      <c r="H36" s="14" t="s">
        <v>3</v>
      </c>
      <c r="I36" s="1"/>
    </row>
    <row r="37" spans="1:9" x14ac:dyDescent="0.25">
      <c r="A37" s="1"/>
      <c r="B37" s="117" t="s">
        <v>131</v>
      </c>
      <c r="C37" s="118"/>
      <c r="D37" s="118"/>
      <c r="E37" s="118"/>
      <c r="F37" s="119"/>
      <c r="G37" s="23">
        <f>(G35+G36)*'Fane 15. Nøgletal'!C26</f>
        <v>1164882.054655564</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4" t="s">
        <v>151</v>
      </c>
      <c r="C40" s="115"/>
      <c r="D40" s="115"/>
      <c r="E40" s="115"/>
      <c r="F40" s="115"/>
      <c r="G40" s="115"/>
      <c r="H40" s="116"/>
      <c r="I40" s="1"/>
    </row>
    <row r="41" spans="1:9" x14ac:dyDescent="0.25">
      <c r="A41" s="1"/>
      <c r="B41" s="117" t="s">
        <v>216</v>
      </c>
      <c r="C41" s="118"/>
      <c r="D41" s="118"/>
      <c r="E41" s="118"/>
      <c r="F41" s="119"/>
      <c r="G41" s="23">
        <f>(G35+G36-G37)*(1+'Fane 15. Nøgletal'!C14)</f>
        <v>77799257.985640258</v>
      </c>
      <c r="H41" s="14" t="s">
        <v>3</v>
      </c>
      <c r="I41" s="1"/>
    </row>
    <row r="42" spans="1:9" x14ac:dyDescent="0.25">
      <c r="A42" s="1"/>
      <c r="B42" s="40" t="s">
        <v>156</v>
      </c>
      <c r="C42" s="79"/>
      <c r="D42" s="79"/>
      <c r="E42" s="79"/>
      <c r="F42" s="80"/>
      <c r="G42" s="23">
        <v>1316944.9617497232</v>
      </c>
      <c r="H42" s="14" t="s">
        <v>3</v>
      </c>
      <c r="I42" s="1"/>
    </row>
    <row r="43" spans="1:9" x14ac:dyDescent="0.25">
      <c r="A43" s="1"/>
      <c r="B43" s="117" t="s">
        <v>132</v>
      </c>
      <c r="C43" s="118"/>
      <c r="D43" s="118"/>
      <c r="E43" s="118"/>
      <c r="F43" s="119"/>
      <c r="G43" s="23">
        <f>(G41)*'Fane 15. Nøgletal'!C26+G42*'Fane 15. Nøgletal'!C27</f>
        <v>1151429.0181874759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4" t="s">
        <v>259</v>
      </c>
      <c r="C52" s="115"/>
      <c r="D52" s="115"/>
      <c r="E52" s="115"/>
      <c r="F52" s="115"/>
      <c r="G52" s="115"/>
      <c r="H52" s="116"/>
      <c r="I52" s="1"/>
    </row>
    <row r="53" spans="1:9" x14ac:dyDescent="0.25">
      <c r="A53" s="1"/>
      <c r="B53" s="117" t="s">
        <v>217</v>
      </c>
      <c r="C53" s="118"/>
      <c r="D53" s="118"/>
      <c r="E53" s="118"/>
      <c r="F53" s="119"/>
      <c r="G53" s="66">
        <f>(G41+G42-G43)*(1+'Fane 15. Nøgletal'!C16)</f>
        <v>84264327.662682056</v>
      </c>
      <c r="H53" s="14" t="s">
        <v>3</v>
      </c>
      <c r="I53" s="1"/>
    </row>
    <row r="54" spans="1:9" x14ac:dyDescent="0.25">
      <c r="A54" s="1"/>
      <c r="B54" s="78" t="s">
        <v>195</v>
      </c>
      <c r="C54" s="79"/>
      <c r="D54" s="79"/>
      <c r="E54" s="79"/>
      <c r="F54" s="80"/>
      <c r="G54" s="66">
        <f>('Fane 2.1. Økonomisk ramme 2024'!C11+'Fane 2.1. Økonomisk ramme 2024'!C13+'Fane 2.1. Økonomisk ramme 2024'!C15)*(1+'Fane 15. Nøgletal'!C16)</f>
        <v>2216784.9608878843</v>
      </c>
      <c r="H54" s="14" t="s">
        <v>3</v>
      </c>
      <c r="I54" s="1"/>
    </row>
    <row r="55" spans="1:9" x14ac:dyDescent="0.25">
      <c r="A55" s="1"/>
      <c r="B55" s="117" t="s">
        <v>218</v>
      </c>
      <c r="C55" s="118"/>
      <c r="D55" s="118"/>
      <c r="E55" s="118"/>
      <c r="F55" s="119"/>
      <c r="G55" s="66">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4" t="s">
        <v>258</v>
      </c>
      <c r="C58" s="115"/>
      <c r="D58" s="115"/>
      <c r="E58" s="115"/>
      <c r="F58" s="115"/>
      <c r="G58" s="115"/>
      <c r="H58" s="116"/>
      <c r="I58" s="1"/>
    </row>
    <row r="59" spans="1:9" x14ac:dyDescent="0.25">
      <c r="A59" s="1"/>
      <c r="B59" s="117" t="s">
        <v>219</v>
      </c>
      <c r="C59" s="118"/>
      <c r="D59" s="118"/>
      <c r="E59" s="118"/>
      <c r="F59" s="119"/>
      <c r="G59" s="66">
        <f>(G53+G54-G55)*(1+'Fane 15. Nøgletal'!C16)</f>
        <v>93468786.523554385</v>
      </c>
      <c r="H59" s="14" t="s">
        <v>3</v>
      </c>
      <c r="I59" s="1"/>
    </row>
    <row r="60" spans="1:9" x14ac:dyDescent="0.25">
      <c r="A60" s="1"/>
      <c r="B60" s="117" t="s">
        <v>220</v>
      </c>
      <c r="C60" s="118"/>
      <c r="D60" s="118"/>
      <c r="E60" s="118"/>
      <c r="F60" s="119"/>
      <c r="G60" s="66">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4" t="s">
        <v>141</v>
      </c>
      <c r="C63" s="115"/>
      <c r="D63" s="115"/>
      <c r="E63" s="115"/>
      <c r="F63" s="115"/>
      <c r="G63" s="115"/>
      <c r="H63" s="116"/>
      <c r="I63" s="1"/>
    </row>
    <row r="64" spans="1:9" x14ac:dyDescent="0.25">
      <c r="A64" s="1"/>
      <c r="B64" s="117" t="s">
        <v>221</v>
      </c>
      <c r="C64" s="118"/>
      <c r="D64" s="118"/>
      <c r="E64" s="118"/>
      <c r="F64" s="119"/>
      <c r="G64" s="66">
        <f>(G59-G60)*(1+'Fane 15. Nøgletal'!C16)</f>
        <v>101021064.47465758</v>
      </c>
      <c r="H64" s="14" t="s">
        <v>3</v>
      </c>
      <c r="I64" s="1"/>
    </row>
    <row r="65" spans="1:9" x14ac:dyDescent="0.25">
      <c r="A65" s="1"/>
      <c r="B65" s="117" t="s">
        <v>222</v>
      </c>
      <c r="C65" s="118"/>
      <c r="D65" s="118"/>
      <c r="E65" s="118"/>
      <c r="F65" s="119"/>
      <c r="G65" s="66">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4" t="s">
        <v>223</v>
      </c>
      <c r="C68" s="115"/>
      <c r="D68" s="115"/>
      <c r="E68" s="115"/>
      <c r="F68" s="115"/>
      <c r="G68" s="115"/>
      <c r="H68" s="116"/>
      <c r="I68" s="1"/>
    </row>
    <row r="69" spans="1:9" x14ac:dyDescent="0.25">
      <c r="A69" s="1"/>
      <c r="B69" s="117" t="s">
        <v>221</v>
      </c>
      <c r="C69" s="118"/>
      <c r="D69" s="118"/>
      <c r="E69" s="118"/>
      <c r="F69" s="119"/>
      <c r="G69" s="66">
        <f>(G64-G65)*(1+'Fane 15. Nøgletal'!C16)</f>
        <v>109183566.48420991</v>
      </c>
      <c r="H69" s="14" t="s">
        <v>3</v>
      </c>
      <c r="I69" s="1"/>
    </row>
    <row r="70" spans="1:9" x14ac:dyDescent="0.25">
      <c r="A70" s="1"/>
      <c r="B70" s="117" t="s">
        <v>222</v>
      </c>
      <c r="C70" s="118"/>
      <c r="D70" s="118"/>
      <c r="E70" s="118"/>
      <c r="F70" s="119"/>
      <c r="G70" s="66">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A2S3uoiyBbc52sZnbBg8F2Z+jT6k4JOfrSnJivrK9RsBvjuQtoOY1nip1o+0qykiHBTha7MEJ5LBZZyr5k+Kng==" saltValue="IWpDgzX0I9F4Cd+ODGZxiw=="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4" t="s">
        <v>10</v>
      </c>
      <c r="C8" s="115"/>
      <c r="D8" s="115"/>
      <c r="E8" s="115"/>
      <c r="F8" s="115"/>
      <c r="G8" s="116"/>
      <c r="H8" s="1"/>
    </row>
    <row r="9" spans="1:8" x14ac:dyDescent="0.25">
      <c r="A9" s="1"/>
      <c r="B9" s="117" t="s">
        <v>271</v>
      </c>
      <c r="C9" s="118"/>
      <c r="D9" s="118"/>
      <c r="E9" s="118"/>
      <c r="F9" s="119"/>
      <c r="G9" s="22">
        <v>2.0097687988883907E-4</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PV9syClQw67vZcRuyn1mbz/U35IzFixrx031DlKUDMG6npcrjD1e7GHUdQGRODt+5g/HKbzwDdRKCOB7hgYgnA==" saltValue="l6UJzYPAM6hpnAwaoiFJ2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2023-11-30T09:28:57Z</dcterms:modified>
</cp:coreProperties>
</file>