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HOFOR Vand København AS (V091)\ØR2024\"/>
    </mc:Choice>
  </mc:AlternateContent>
  <xr:revisionPtr revIDLastSave="0" documentId="13_ncr:1_{991A6594-F2F6-4F71-9370-1210E3846EC1}"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definedNames>
    <definedName name="Tabel_Fane_11">'Fane 11. Tilknyttet virksomhed'!$B$8:$F$13</definedName>
    <definedName name="Tabel_Fane_12">'Fane 12. Bortfald'!$B$9:$F$13</definedName>
    <definedName name="Tabel_Fane_2_1">'Fane 2.1. Økonomisk ramme 2024'!$B$8:$E$35</definedName>
    <definedName name="Tabel_Fane_2_2">'Fane 2.2. Økonomisk ramme 2025'!$B$8:$D$21</definedName>
    <definedName name="Tabel_Fane_2_3">'Fane 2.3. Økonomisk ramme 2026'!$B$7:$D$20</definedName>
    <definedName name="Tabel_Fane_2_4">'Fane 2.4. Økonomisk ramme 2027'!$B$7:$D$20</definedName>
    <definedName name="Tabel_Fane_3">'Fane 3. Omkostninger i ØR2023'!$B$8:$D$34</definedName>
    <definedName name="Tabel_Fane_8">'Fane 8. Skattesagen'!$B$8:$H$18</definedName>
  </definedNames>
  <calcPr calcId="191029"/>
</workbook>
</file>

<file path=xl/calcChain.xml><?xml version="1.0" encoding="utf-8"?>
<calcChain xmlns="http://schemas.openxmlformats.org/spreadsheetml/2006/main">
  <c r="C17" i="22" l="1"/>
  <c r="C18" i="15"/>
  <c r="C30" i="2"/>
  <c r="E29" i="42"/>
  <c r="E25" i="42" l="1"/>
  <c r="E33" i="42" s="1"/>
  <c r="E35" i="42" s="1"/>
  <c r="C9" i="2" l="1"/>
  <c r="C19" i="23" l="1"/>
  <c r="C19" i="22"/>
  <c r="C20" i="15"/>
  <c r="C32" i="2"/>
  <c r="G18" i="40" l="1"/>
  <c r="J11" i="11" l="1"/>
  <c r="H11" i="11"/>
  <c r="C18" i="19"/>
  <c r="C19" i="19" s="1"/>
  <c r="C15" i="23" l="1"/>
  <c r="C16" i="15"/>
  <c r="C15" i="22"/>
  <c r="E12" i="29" l="1"/>
  <c r="E13" i="29" s="1"/>
  <c r="C12" i="29"/>
  <c r="C13" i="29" s="1"/>
  <c r="F10" i="11"/>
  <c r="E13" i="39" l="1"/>
  <c r="E14" i="39" s="1"/>
  <c r="C13" i="39"/>
  <c r="C14" i="39" l="1"/>
  <c r="C24" i="2" s="1"/>
  <c r="G31" i="36"/>
  <c r="G38" i="36" s="1"/>
  <c r="G7" i="36"/>
  <c r="G11" i="36" s="1"/>
  <c r="G13" i="36" s="1"/>
  <c r="G7" i="30"/>
  <c r="G11" i="30" s="1"/>
  <c r="G17" i="36" l="1"/>
  <c r="G20" i="36" s="1"/>
  <c r="G13" i="30"/>
  <c r="G17" i="30" s="1"/>
  <c r="G24" i="36" l="1"/>
  <c r="G20" i="30"/>
  <c r="G30" i="36" l="1"/>
  <c r="G37" i="36" s="1"/>
  <c r="G26" i="36"/>
  <c r="G24" i="30"/>
  <c r="G26" i="30" s="1"/>
  <c r="G31" i="30" l="1"/>
  <c r="G38" i="30" s="1"/>
  <c r="F11" i="11" l="1"/>
  <c r="E12" i="21" l="1"/>
  <c r="E13" i="21" s="1"/>
  <c r="C12" i="21"/>
  <c r="C13" i="21" s="1"/>
  <c r="C13" i="2" l="1"/>
  <c r="C12" i="2"/>
  <c r="C25" i="2" l="1"/>
  <c r="C27" i="2" s="1"/>
  <c r="C26" i="2" l="1"/>
  <c r="C28" i="2" s="1"/>
  <c r="G30" i="30"/>
  <c r="G37" i="30" s="1"/>
  <c r="G33" i="30" l="1"/>
  <c r="C10" i="37" l="1"/>
  <c r="C21" i="37" s="1"/>
  <c r="C22" i="37" s="1"/>
  <c r="C10" i="2" l="1"/>
  <c r="G55" i="30" s="1"/>
  <c r="C22" i="2"/>
  <c r="C14" i="2"/>
  <c r="C15" i="2"/>
  <c r="G41" i="30" l="1"/>
  <c r="G45" i="30" l="1"/>
  <c r="G47" i="30" s="1"/>
  <c r="G54" i="30" s="1"/>
  <c r="G39" i="30"/>
  <c r="E10" i="37"/>
  <c r="E21" i="37" l="1"/>
  <c r="E22" i="37" s="1"/>
  <c r="C11" i="2" s="1"/>
  <c r="G56" i="30"/>
  <c r="G60" i="30" l="1"/>
  <c r="G61" i="30" s="1"/>
  <c r="C12" i="15" s="1"/>
  <c r="C18" i="2"/>
  <c r="G33" i="36"/>
  <c r="G41" i="36"/>
  <c r="G65" i="30" l="1"/>
  <c r="G66" i="30" s="1"/>
  <c r="G45" i="36"/>
  <c r="G47" i="36" l="1"/>
  <c r="G52" i="36" s="1"/>
  <c r="C11" i="22"/>
  <c r="G70" i="30"/>
  <c r="G71" i="30" s="1"/>
  <c r="C11" i="23" s="1"/>
  <c r="C16" i="2"/>
  <c r="C17" i="2" s="1"/>
  <c r="G54" i="36" l="1"/>
  <c r="G58" i="36" s="1"/>
  <c r="G59" i="36" s="1"/>
  <c r="C19" i="2" l="1"/>
  <c r="C20" i="2" s="1"/>
  <c r="C35" i="2" s="1"/>
  <c r="G63" i="36"/>
  <c r="G64" i="36" s="1"/>
  <c r="C13" i="15"/>
  <c r="G68" i="36" l="1"/>
  <c r="G69" i="36" s="1"/>
  <c r="C12" i="23" s="1"/>
  <c r="C12" i="22"/>
  <c r="C9" i="15"/>
  <c r="C10" i="15" s="1"/>
  <c r="C11" i="15" l="1"/>
  <c r="C14" i="15" s="1"/>
  <c r="C21" i="15" l="1"/>
  <c r="C8" i="22"/>
  <c r="C9" i="22" s="1"/>
  <c r="C10" i="22" l="1"/>
  <c r="C13" i="22" s="1"/>
  <c r="C20" i="22" l="1"/>
  <c r="C8" i="23"/>
  <c r="C9" i="23" l="1"/>
  <c r="C10" i="23" s="1"/>
  <c r="C13" i="23" s="1"/>
  <c r="C20" i="23" s="1"/>
</calcChain>
</file>

<file path=xl/sharedStrings.xml><?xml version="1.0" encoding="utf-8"?>
<sst xmlns="http://schemas.openxmlformats.org/spreadsheetml/2006/main" count="579" uniqueCount="280">
  <si>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</si>
  <si>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</si>
  <si>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</si>
  <si>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</si>
  <si>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</si>
  <si>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</si>
  <si>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</si>
  <si>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</si>
  <si>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</si>
  <si>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</si>
  <si>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</si>
  <si>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</si>
  <si>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</si>
  <si>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</si>
  <si>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</si>
  <si>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</si>
  <si>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</si>
  <si>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</si>
  <si>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</si>
  <si>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</si>
  <si>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</si>
  <si>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</si>
  <si>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</si>
  <si>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</si>
  <si>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</si>
  <si>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</si>
  <si>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</si>
  <si>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</si>
  <si>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</si>
  <si>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</si>
  <si>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</si>
  <si>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</si>
  <si>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</si>
  <si>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</si>
  <si>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</si>
  <si>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</si>
  <si>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</si>
  <si>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</si>
  <si>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</si>
  <si>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</si>
  <si>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</si>
  <si>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</si>
  <si>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</si>
  <si>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</si>
  <si>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</si>
  <si>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</si>
  <si>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</si>
  <si>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</si>
  <si>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</si>
  <si>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</si>
  <si>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</si>
  <si>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</si>
  <si>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</si>
  <si>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</si>
  <si>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</si>
  <si>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</si>
  <si>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</si>
  <si>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</si>
  <si>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</si>
  <si>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</si>
  <si>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</si>
  <si>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</si>
  <si>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</si>
  <si>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</si>
  <si>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</si>
  <si>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</si>
  <si>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</si>
  <si>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</si>
  <si>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</si>
  <si>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</si>
  <si>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</si>
  <si>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</si>
  <si>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</si>
  <si>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</si>
  <si>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</si>
  <si>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</si>
  <si>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</si>
  <si>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</si>
  <si>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</si>
  <si>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</si>
  <si>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</si>
  <si>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</si>
  <si>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</si>
  <si>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</si>
  <si>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</si>
  <si>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</si>
  <si>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</si>
  <si>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</si>
  <si>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Generelt effektiviseringskrav til anlægsomkostninger i de økonomiske rammer for 2022</t>
  </si>
  <si>
    <t>Generelt effektiviseringskrav til driftsomkostninger i de økonomiske rammer for 2022</t>
  </si>
  <si>
    <t>Fane 4.1: Generelt effektiviseringskrav til driftsomkostningerne</t>
  </si>
  <si>
    <t>Fane 4.2: Generelt effektiviseringskrav til anlægsomkostningerne</t>
  </si>
  <si>
    <t>Fane 6: Ikke-påvirkelige omkostninger</t>
  </si>
  <si>
    <t>Fane 4.1</t>
  </si>
  <si>
    <t>Fane 4.2</t>
  </si>
  <si>
    <t>Fane 6</t>
  </si>
  <si>
    <t>Fane 11</t>
  </si>
  <si>
    <t>Prisudvikling til brug for ØR2017-2018</t>
  </si>
  <si>
    <t>Prisudvikling til brug for ØR2019-2022</t>
  </si>
  <si>
    <t>Generelt effektiviseringskrav til brug for anlægsomkostninger i ØR2017-2018</t>
  </si>
  <si>
    <t>Generelt effektiviseringskrav til brug for nye anlægsomkostninger i ØR2018</t>
  </si>
  <si>
    <t>Generelt effektiviseringskrav til brug for nye anlægsomkostninger i ØR2020</t>
  </si>
  <si>
    <t>Generelt effektiviseringskrav til brug for anlægsomkostninger i ØR2019-2022</t>
  </si>
  <si>
    <t>Generelt effektiviseringskrav til brug for driftsomkostninger</t>
  </si>
  <si>
    <t>- Heraf nye driftsomkostninger til de økonomiske rammer for 2020</t>
  </si>
  <si>
    <t>Generelt effektiviseringskrav til driftsomkostningerne i ØR22</t>
  </si>
  <si>
    <t>- Heraf nye anlægsomkostninger til de økonomiske rammer for 2020</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</si>
  <si>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</si>
  <si>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</si>
  <si>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</si>
  <si>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</si>
  <si>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</si>
  <si>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</si>
  <si>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2022</t>
  </si>
  <si>
    <t>Videreførte omkostninger fra den økonomiske ramme for 2024</t>
  </si>
  <si>
    <t>Økonomisk ramme for 2024</t>
  </si>
  <si>
    <t>Tilknyttet virksomhed under hovedvirksomheden</t>
  </si>
  <si>
    <t>Beskrivelse af tilknyttet virksomhed</t>
  </si>
  <si>
    <t>Prisudvikling til brug for nye omkostninger i ØR2021</t>
  </si>
  <si>
    <t>Generelt effektiviseringskrav til brug for nye anlægsomkostninger i ØR2021</t>
  </si>
  <si>
    <t>Base for driftsomkostninger til de vejledende økonomiske rammer for 2024</t>
  </si>
  <si>
    <t>Vejledende generelt effektiviseringskrav til driftsomkostningerne i ØR24</t>
  </si>
  <si>
    <t>- Heraf nye driftsomkostninger til de økonomiske rammer for 2021</t>
  </si>
  <si>
    <t>- Heraf nye anlægsomkostninger til de økonomiske rammer for 2021</t>
  </si>
  <si>
    <t>Base for anlægsomkostninger til de vejledende økonomiske rammer for 2024</t>
  </si>
  <si>
    <t>Vejledende generelt effektiviseringskrav til anlægsomkostningerne i ØR24</t>
  </si>
  <si>
    <t>Anlægsprojekter igangsat senest 1. marts 2016</t>
  </si>
  <si>
    <t>Generelt effektiviseringskrav til anlægsomkostningerne i ØR22</t>
  </si>
  <si>
    <t>Kontrol med overholdelse af økonomiske rammer</t>
  </si>
  <si>
    <t>Kontrol med overholdelse af den økonomiske ramme</t>
  </si>
  <si>
    <t>Videreførte omkostninger fra den økonomiske ramme for 2023</t>
  </si>
  <si>
    <t>Økonomisk ramme for 2025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</si>
  <si>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</si>
  <si>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</si>
  <si>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</si>
  <si>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</si>
  <si>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</si>
  <si>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</si>
  <si>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</si>
  <si>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</si>
  <si>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</si>
  <si>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</si>
  <si>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Tidligere opgjorte over/underdækninger</t>
  </si>
  <si>
    <t>Over/underdækning i 2019</t>
  </si>
  <si>
    <t>Allerede indregnet fradrag i jeres økonomiske rammer</t>
  </si>
  <si>
    <t>Indregnet fradrag i økonomisk ramme for 2023</t>
  </si>
  <si>
    <t>Indregnet fradrag i økonomisk ramme for 2024</t>
  </si>
  <si>
    <t>Kontrol med de økonomiske rammer til indregning</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</si>
  <si>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</si>
  <si>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</si>
  <si>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</si>
  <si>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</si>
  <si>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</si>
  <si>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</si>
  <si>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</si>
  <si>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</si>
  <si>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</si>
  <si>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Over/underdækning i 2020</t>
  </si>
  <si>
    <t>Nye tillæg i alt i 2022-prisniveau</t>
  </si>
  <si>
    <t>Tilknyttet virksomhed under hovedvirksomheden i alt (2022-prisniveau)</t>
  </si>
  <si>
    <t>Prisudvikling til brug for nye omkostninger i ØR 2023</t>
  </si>
  <si>
    <t>Generelt effektiviseringskrav til brug for nye anlægsomkostninger i ØR 2023</t>
  </si>
  <si>
    <t xml:space="preserve"> </t>
  </si>
  <si>
    <t>Anlægsprojekter igangsat senest den 1. marts 2016</t>
  </si>
  <si>
    <t>Samlet økonomisk ramme for 2024</t>
  </si>
  <si>
    <t>Generelt effektiviseringskrav til driftsomkostningerne i ØR23</t>
  </si>
  <si>
    <t xml:space="preserve">kr. </t>
  </si>
  <si>
    <t>Generelt effektiviseringskrav til anlægsomkostninger i de økonomiske rammer for 2023</t>
  </si>
  <si>
    <t>Generelt effektiviseringskrav til anlægsomkostninger i de økonomiske rammer for 2024</t>
  </si>
  <si>
    <t xml:space="preserve">Anlægsprojekter (§ 19) </t>
  </si>
  <si>
    <t>Effektiviseringskrav (generelt og individuelt) - Drift</t>
  </si>
  <si>
    <t>Effektiviseringskrav (generelt og individuelt) - Anlæg</t>
  </si>
  <si>
    <t>Generelt effektiviseringskrav til driftsomkostninger i de økonomiske rammer for 2024</t>
  </si>
  <si>
    <t>Generelt effektiviseringskrav til driftsomkostninger i de økonomiske rammer for 2023</t>
  </si>
  <si>
    <t>Nye varige anlægsomkostninger i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</si>
  <si>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</si>
  <si>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</si>
  <si>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</si>
  <si>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</si>
  <si>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</si>
  <si>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</si>
  <si>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</si>
  <si>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</si>
  <si>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</si>
  <si>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</si>
  <si>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</si>
  <si>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</si>
  <si>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</si>
  <si>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</si>
  <si>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</si>
  <si>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</si>
  <si>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</si>
  <si>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</si>
  <si>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</si>
  <si>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</si>
  <si>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</si>
  <si>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</si>
  <si>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</si>
  <si>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</si>
  <si>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</si>
  <si>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</si>
  <si>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</si>
  <si>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</si>
  <si>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</si>
  <si>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</si>
  <si>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</si>
  <si>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Prisudvikling til brug for nye omkostninger i ØR 2024</t>
  </si>
  <si>
    <t>Fane 3: Videreførte omkostninger fra den økonomiske ramme for 2023</t>
  </si>
  <si>
    <t>Oversigt over den økonomiske ramme for 2023</t>
  </si>
  <si>
    <t>Fane 2.3: Samlet økonomisk ramme for 2026</t>
  </si>
  <si>
    <t>Videreførte omkostninger fra den økonomiske ramme for 2026</t>
  </si>
  <si>
    <t>Økonomisk ramme for 2027</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</si>
  <si>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</si>
  <si>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</si>
  <si>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</si>
  <si>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</si>
  <si>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</si>
  <si>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</si>
  <si>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Omkostninger i 2022</t>
  </si>
  <si>
    <t>Faktiske ikke-påvirkelige omkostninger i 2022</t>
  </si>
  <si>
    <t>Ikke-påvirkelige omkostninger i 2022-prisniveau</t>
  </si>
  <si>
    <t>Ikke-påvirkelige omkostninger i 2024-prisniveau</t>
  </si>
  <si>
    <t>Fane 7: Kontrol med overholdelse af den økonomiske ramme for 2022</t>
  </si>
  <si>
    <t>Omkostninger til § 19-tillæg i alt - 2022 prisniveau</t>
  </si>
  <si>
    <t>Nye tillæg i alt i 2023-prisniveau</t>
  </si>
  <si>
    <t>Engangstillæg til de økonomiske rammer for 2024</t>
  </si>
  <si>
    <t>Engangstillæg i alt i 2022-prisniveau</t>
  </si>
  <si>
    <t>Engangstillæg i alt i 2024-prisniveau</t>
  </si>
  <si>
    <t>Tilknyttet virksomhed under hovedvirksomheden i alt (2023-prisniveau)</t>
  </si>
  <si>
    <t>Fane 2.4: Samlet økonomisk ramme for 2027</t>
  </si>
  <si>
    <t>Nye varige anlægsomkostninger i de økonomiske rammer for 2024</t>
  </si>
  <si>
    <t>Generelt effektiviseringskrav til brug for nye anlægsomkostninger i ØR 2024</t>
  </si>
  <si>
    <t>Nye varige driftsomkostninger til de økonomiske rammer for 2018</t>
  </si>
  <si>
    <t>Nye varige driftsomkostninger til de økonomiske rammer for 2019</t>
  </si>
  <si>
    <t>Nye varige driftsomkostninger til de økonomiske rammer for 2021</t>
  </si>
  <si>
    <t>Nye varige driftsomkostninger i de økonomiske rammer for 2022</t>
  </si>
  <si>
    <t>Nye varige driftsomkostninger til de økonomiske rammer for 2023</t>
  </si>
  <si>
    <t>Nye varige driftsomkostninger til de økonomiske rammer for 2024</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</si>
  <si>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</si>
  <si>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</si>
  <si>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</si>
  <si>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</si>
  <si>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i de økonomiske rammer for 2022</t>
  </si>
  <si>
    <t>Inidividuelt effektiviseringskrav til de økonomiske rammer for 2023-2024</t>
  </si>
  <si>
    <t>Bortfald eller nedsættelse i alt i 2023-prisniveau</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</si>
  <si>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</si>
  <si>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</si>
  <si>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</si>
  <si>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</si>
  <si>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</si>
  <si>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</si>
  <si>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</si>
  <si>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</si>
  <si>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</si>
  <si>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</si>
  <si>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Køb af ydelser og produkter fra andre vandselskaber reguleret af vandsektorloven</t>
  </si>
  <si>
    <t>Ejendomsskat</t>
  </si>
  <si>
    <t>Selskabsskatter</t>
  </si>
  <si>
    <t>Blødgøringsanlæg på Marbjerg Vandværk</t>
  </si>
  <si>
    <t>Driftsomkostninger sfa blødgøring</t>
  </si>
  <si>
    <t>Omlægning pga letbanen</t>
  </si>
  <si>
    <t>Rantzausgade ledningsomlægning</t>
  </si>
  <si>
    <t>Ledningsarbejder ifm Enghave Brygge byudvikling</t>
  </si>
  <si>
    <t>Øget antal forbrugere</t>
  </si>
  <si>
    <t>Katrinebjerg Kildeplads</t>
  </si>
  <si>
    <t>Krav i indvindingstilladelser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</si>
  <si>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</si>
  <si>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</si>
  <si>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</si>
  <si>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</si>
  <si>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</si>
  <si>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</si>
  <si>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</si>
  <si>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</si>
  <si>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</si>
  <si>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</si>
  <si>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Ingen engangstillæg</t>
  </si>
  <si>
    <t>Søndersø Vandværk renovering</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</si>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</sst>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0" fillId="2" borderId="0" xfId="0" applyFill="1" applyAlignment="1" applyProtection="1">
      <alignment wrapText="1"/>
    </xf>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3" borderId="1" xfId="0" applyFont="1" applyFill="1" applyBorder="1" applyAlignment="1" applyProtection="1"/>
    <xf numFmtId="0" fontId="2" fillId="2" borderId="0" xfId="0" applyFont="1" applyFill="1" applyAlignment="1" applyProtection="1">
      <alignment vertical="center" wrapText="1"/>
    </xf>
    <xf numFmtId="0" fontId="2" fillId="2" borderId="7" xfId="0" applyFont="1" applyFill="1" applyBorder="1" applyAlignment="1" applyProtection="1">
      <alignment vertical="center" wrapText="1"/>
    </xf>
    <xf numFmtId="0" fontId="8" fillId="4" borderId="3" xfId="0" applyFont="1" applyFill="1" applyBorder="1" applyAlignment="1" applyProtection="1">
      <alignment wrapText="1"/>
    </xf>
    <xf numFmtId="0" fontId="8" fillId="8" borderId="2" xfId="0" applyFont="1" applyFill="1" applyBorder="1" applyAlignment="1" applyProtection="1">
      <alignment wrapText="1"/>
    </xf>
    <xf numFmtId="0" fontId="8" fillId="4" borderId="2" xfId="0" applyFont="1" applyFill="1" applyBorder="1" applyAlignment="1" applyProtection="1"/>
    <xf numFmtId="1" fontId="8" fillId="0" borderId="1" xfId="0" applyNumberFormat="1" applyFont="1" applyFill="1" applyBorder="1" applyProtection="1"/>
    <xf numFmtId="0" fontId="8" fillId="8" borderId="4" xfId="0" applyFont="1" applyFill="1" applyBorder="1" applyAlignment="1" applyProtection="1">
      <alignment horizontal="lef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1" fontId="7" fillId="3" borderId="6" xfId="0" applyNumberFormat="1" applyFont="1" applyFill="1" applyBorder="1" applyAlignment="1" applyProtection="1"/>
    <xf numFmtId="3" fontId="8" fillId="0" borderId="1" xfId="0" applyNumberFormat="1" applyFont="1" applyFill="1" applyBorder="1" applyProtection="1"/>
    <xf numFmtId="0" fontId="8" fillId="0" borderId="1" xfId="0" applyFont="1" applyFill="1" applyBorder="1" applyAlignment="1" applyProtection="1"/>
    <xf numFmtId="165" fontId="0" fillId="2" borderId="0" xfId="1" applyNumberFormat="1" applyFont="1" applyFill="1" applyProtection="1"/>
    <xf numFmtId="165" fontId="8" fillId="8" borderId="1" xfId="1" applyNumberFormat="1" applyFont="1" applyFill="1" applyBorder="1" applyProtection="1"/>
    <xf numFmtId="165" fontId="7" fillId="3" borderId="6" xfId="1" applyNumberFormat="1" applyFont="1" applyFill="1" applyBorder="1" applyAlignment="1" applyProtection="1"/>
    <xf numFmtId="165" fontId="0" fillId="0" borderId="0" xfId="1" applyNumberFormat="1" applyFont="1" applyProtection="1"/>
    <xf numFmtId="165" fontId="2" fillId="2" borderId="0" xfId="1" applyNumberFormat="1" applyFont="1" applyFill="1" applyAlignment="1" applyProtection="1">
      <alignment vertical="center" wrapText="1"/>
    </xf>
    <xf numFmtId="165" fontId="2" fillId="2" borderId="7" xfId="1" applyNumberFormat="1" applyFont="1" applyFill="1" applyBorder="1" applyAlignment="1" applyProtection="1">
      <alignment vertical="center" wrapText="1"/>
    </xf>
    <xf numFmtId="165" fontId="8" fillId="0" borderId="1" xfId="1" applyNumberFormat="1" applyFont="1" applyFill="1" applyBorder="1" applyProtection="1"/>
    <xf numFmtId="10" fontId="8" fillId="0" borderId="1" xfId="0" applyNumberFormat="1" applyFont="1" applyFill="1" applyBorder="1" applyProtection="1"/>
    <xf numFmtId="10" fontId="8" fillId="0" borderId="1" xfId="4" applyNumberFormat="1" applyFont="1" applyFill="1" applyBorder="1" applyAlignment="1" applyProtection="1"/>
    <xf numFmtId="0" fontId="8" fillId="8" borderId="2" xfId="0" quotePrefix="1" applyFont="1" applyFill="1" applyBorder="1" applyAlignment="1" applyProtection="1">
      <alignment wrapText="1"/>
    </xf>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quotePrefix="1" applyFont="1" applyFill="1" applyBorder="1" applyAlignment="1" applyProtection="1">
      <alignment horizontal="left" wrapText="1"/>
    </xf>
    <xf numFmtId="49" fontId="8" fillId="8" borderId="2" xfId="0" applyNumberFormat="1" applyFont="1" applyFill="1" applyBorder="1" applyAlignment="1" applyProtection="1">
      <alignment wrapText="1"/>
    </xf>
    <xf numFmtId="166" fontId="8" fillId="8" borderId="1" xfId="1" applyNumberFormat="1" applyFont="1" applyFill="1" applyBorder="1" applyProtection="1"/>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3" fontId="8" fillId="8" borderId="1" xfId="0" quotePrefix="1" applyNumberFormat="1" applyFont="1" applyFill="1" applyBorder="1" applyProtection="1"/>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2"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93" zoomScaleNormal="100" zoomScalePageLayoutView="93"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2" t="s">
        <v>4</v>
      </c>
      <c r="E6" s="102"/>
      <c r="F6" s="102"/>
      <c r="G6" s="102"/>
      <c r="H6" s="3"/>
      <c r="I6" s="1"/>
    </row>
    <row r="7" spans="1:9" ht="15" customHeight="1" x14ac:dyDescent="0.25">
      <c r="A7" s="1"/>
      <c r="B7" s="1"/>
      <c r="C7" s="3"/>
      <c r="D7" s="102"/>
      <c r="E7" s="102"/>
      <c r="F7" s="102"/>
      <c r="G7" s="102"/>
      <c r="H7" s="3"/>
      <c r="I7" s="1"/>
    </row>
    <row r="8" spans="1:9" ht="15.75" x14ac:dyDescent="0.25">
      <c r="A8" s="1"/>
      <c r="B8" s="1"/>
      <c r="C8" s="4"/>
      <c r="D8" s="104" t="s">
        <v>245</v>
      </c>
      <c r="E8" s="104"/>
      <c r="F8" s="104"/>
      <c r="G8" s="104"/>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3" t="s">
        <v>5</v>
      </c>
      <c r="E11" s="103"/>
      <c r="F11" s="103"/>
      <c r="G11" s="103"/>
      <c r="H11" s="5"/>
      <c r="I11" s="1"/>
    </row>
    <row r="12" spans="1:9" x14ac:dyDescent="0.25">
      <c r="A12" s="1"/>
      <c r="B12" s="1"/>
      <c r="C12" s="1"/>
      <c r="D12" s="1"/>
      <c r="E12" s="1"/>
      <c r="F12" s="1"/>
      <c r="G12" s="1"/>
      <c r="H12" s="1"/>
      <c r="I12" s="1"/>
    </row>
    <row r="13" spans="1:9" x14ac:dyDescent="0.25">
      <c r="A13" s="1"/>
      <c r="B13" s="1"/>
      <c r="C13" s="6" t="s">
        <v>6</v>
      </c>
      <c r="D13" s="105" t="s">
        <v>164</v>
      </c>
      <c r="E13" s="106"/>
      <c r="F13" s="106"/>
      <c r="G13" s="107"/>
      <c r="H13" s="1"/>
      <c r="I13" s="1"/>
    </row>
    <row r="14" spans="1:9" x14ac:dyDescent="0.25">
      <c r="A14" s="1"/>
      <c r="B14" s="1"/>
      <c r="C14" s="6" t="s">
        <v>14</v>
      </c>
      <c r="D14" s="99" t="s">
        <v>203</v>
      </c>
      <c r="E14" s="100"/>
      <c r="F14" s="100"/>
      <c r="G14" s="101"/>
      <c r="H14" s="1"/>
      <c r="I14" s="1"/>
    </row>
    <row r="15" spans="1:9" x14ac:dyDescent="0.25">
      <c r="A15" s="1"/>
      <c r="B15" s="1"/>
      <c r="C15" s="6" t="s">
        <v>30</v>
      </c>
      <c r="D15" s="99" t="s">
        <v>148</v>
      </c>
      <c r="E15" s="100"/>
      <c r="F15" s="100"/>
      <c r="G15" s="101"/>
      <c r="H15" s="1"/>
      <c r="I15" s="1"/>
    </row>
    <row r="16" spans="1:9" x14ac:dyDescent="0.25">
      <c r="A16" s="1"/>
      <c r="B16" s="1"/>
      <c r="C16" s="6" t="s">
        <v>31</v>
      </c>
      <c r="D16" s="99" t="s">
        <v>200</v>
      </c>
      <c r="E16" s="100"/>
      <c r="F16" s="100"/>
      <c r="G16" s="101"/>
      <c r="H16" s="1"/>
      <c r="I16" s="1"/>
    </row>
    <row r="17" spans="1:9" x14ac:dyDescent="0.25">
      <c r="A17" s="1"/>
      <c r="B17" s="1"/>
      <c r="C17" s="6" t="s">
        <v>107</v>
      </c>
      <c r="D17" s="99" t="s">
        <v>201</v>
      </c>
      <c r="E17" s="100"/>
      <c r="F17" s="100"/>
      <c r="G17" s="101"/>
      <c r="H17" s="1"/>
      <c r="I17" s="1"/>
    </row>
    <row r="18" spans="1:9" x14ac:dyDescent="0.25">
      <c r="A18" s="1"/>
      <c r="B18" s="1"/>
      <c r="C18" s="6" t="s">
        <v>93</v>
      </c>
      <c r="D18" s="108" t="s">
        <v>81</v>
      </c>
      <c r="E18" s="109"/>
      <c r="F18" s="109"/>
      <c r="G18" s="110"/>
      <c r="H18" s="1"/>
      <c r="I18" s="1"/>
    </row>
    <row r="19" spans="1:9" x14ac:dyDescent="0.25">
      <c r="A19" s="1"/>
      <c r="B19" s="1"/>
      <c r="C19" s="6" t="s">
        <v>94</v>
      </c>
      <c r="D19" s="108" t="s">
        <v>82</v>
      </c>
      <c r="E19" s="109"/>
      <c r="F19" s="109"/>
      <c r="G19" s="110"/>
      <c r="H19" s="1"/>
      <c r="I19" s="1"/>
    </row>
    <row r="20" spans="1:9" x14ac:dyDescent="0.25">
      <c r="A20" s="1"/>
      <c r="B20" s="1"/>
      <c r="C20" s="6" t="s">
        <v>7</v>
      </c>
      <c r="D20" s="108" t="s">
        <v>9</v>
      </c>
      <c r="E20" s="109"/>
      <c r="F20" s="109"/>
      <c r="G20" s="110"/>
      <c r="H20" s="1"/>
      <c r="I20" s="1"/>
    </row>
    <row r="21" spans="1:9" x14ac:dyDescent="0.25">
      <c r="A21" s="1"/>
      <c r="B21" s="1"/>
      <c r="C21" s="6" t="s">
        <v>95</v>
      </c>
      <c r="D21" s="96" t="s">
        <v>11</v>
      </c>
      <c r="E21" s="97"/>
      <c r="F21" s="97"/>
      <c r="G21" s="98"/>
      <c r="H21" s="1"/>
      <c r="I21" s="1"/>
    </row>
    <row r="22" spans="1:9" x14ac:dyDescent="0.25">
      <c r="A22" s="1"/>
      <c r="B22" s="1"/>
      <c r="C22" s="6" t="s">
        <v>75</v>
      </c>
      <c r="D22" s="90" t="s">
        <v>202</v>
      </c>
      <c r="E22" s="91"/>
      <c r="F22" s="91"/>
      <c r="G22" s="92"/>
      <c r="H22" s="1"/>
      <c r="I22" s="1"/>
    </row>
    <row r="23" spans="1:9" x14ac:dyDescent="0.25">
      <c r="A23" s="1"/>
      <c r="B23" s="1"/>
      <c r="C23" s="6" t="s">
        <v>8</v>
      </c>
      <c r="D23" s="90" t="s">
        <v>181</v>
      </c>
      <c r="E23" s="91"/>
      <c r="F23" s="91"/>
      <c r="G23" s="92"/>
      <c r="H23" s="1"/>
      <c r="I23" s="1"/>
    </row>
    <row r="24" spans="1:9" x14ac:dyDescent="0.25">
      <c r="A24" s="1"/>
      <c r="B24" s="1"/>
      <c r="C24" s="6" t="s">
        <v>177</v>
      </c>
      <c r="D24" s="90" t="s">
        <v>169</v>
      </c>
      <c r="E24" s="91"/>
      <c r="F24" s="91"/>
      <c r="G24" s="92"/>
      <c r="H24" s="1"/>
      <c r="I24" s="1"/>
    </row>
    <row r="25" spans="1:9" x14ac:dyDescent="0.25">
      <c r="A25" s="1"/>
      <c r="B25" s="1"/>
      <c r="C25" s="6" t="s">
        <v>178</v>
      </c>
      <c r="D25" s="90" t="s">
        <v>76</v>
      </c>
      <c r="E25" s="91"/>
      <c r="F25" s="91"/>
      <c r="G25" s="92"/>
      <c r="H25" s="1"/>
      <c r="I25" s="1"/>
    </row>
    <row r="26" spans="1:9" x14ac:dyDescent="0.25">
      <c r="A26" s="1"/>
      <c r="B26" s="1"/>
      <c r="C26" s="6" t="s">
        <v>179</v>
      </c>
      <c r="D26" s="90" t="s">
        <v>77</v>
      </c>
      <c r="E26" s="91"/>
      <c r="F26" s="91"/>
      <c r="G26" s="92"/>
      <c r="H26" s="1"/>
      <c r="I26" s="1"/>
    </row>
    <row r="27" spans="1:9" x14ac:dyDescent="0.25">
      <c r="A27" s="1"/>
      <c r="B27" s="1"/>
      <c r="C27" s="6" t="s">
        <v>96</v>
      </c>
      <c r="D27" s="90" t="s">
        <v>110</v>
      </c>
      <c r="E27" s="91"/>
      <c r="F27" s="91"/>
      <c r="G27" s="92"/>
      <c r="H27" s="1"/>
      <c r="I27" s="1"/>
    </row>
    <row r="28" spans="1:9" x14ac:dyDescent="0.25">
      <c r="A28" s="1"/>
      <c r="B28" s="1"/>
      <c r="C28" s="6" t="s">
        <v>85</v>
      </c>
      <c r="D28" s="90" t="s">
        <v>32</v>
      </c>
      <c r="E28" s="91"/>
      <c r="F28" s="91"/>
      <c r="G28" s="92"/>
      <c r="H28" s="1"/>
      <c r="I28" s="1"/>
    </row>
    <row r="29" spans="1:9" x14ac:dyDescent="0.25">
      <c r="A29" s="1"/>
      <c r="B29" s="1"/>
      <c r="C29" s="6" t="s">
        <v>180</v>
      </c>
      <c r="D29" s="93" t="s">
        <v>86</v>
      </c>
      <c r="E29" s="94"/>
      <c r="F29" s="94"/>
      <c r="G29" s="95"/>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7"/>
      <c r="B51" s="37"/>
      <c r="C51" s="37"/>
      <c r="D51" s="37"/>
      <c r="E51" s="37"/>
      <c r="F51" s="37"/>
      <c r="G51" s="37"/>
      <c r="H51" s="37"/>
      <c r="I51" s="37"/>
    </row>
  </sheetData>
  <sheetProtection algorithmName="SHA-512" hashValue="PrZ1RJseWKzzJWCYgzTDesRWjRYuXdXKrCC0Fw5d0c/TNhCbflV8dPK1wIM38ECcqdxnVBX5Z0jqhv695Az79Q==" saltValue="/FKaZhouvVRbq4tYzX2fwA=="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20:G20" location="'Fane 5. Individuelt eff. krav'!A1" display="Individuelt effektiviseringskrav" xr:uid="{00000000-0004-0000-0000-00000D000000}"/>
    <hyperlink ref="D19:G19" location="'Fane 4.2. Gen. krav - anlæg'!A1" display="Generelt effektiviseringskrav på anlæg" xr:uid="{00000000-0004-0000-0000-00000E000000}"/>
    <hyperlink ref="D18:G18" location="'Fane 4.1. Gen. krav - drift'!A1" display="Generelt effektiviseringskrav på drift" xr:uid="{00000000-0004-0000-0000-00000F000000}"/>
    <hyperlink ref="D23:G23" location="'Fane 8. Skattesagen'!A1" display="Skattesagen" xr:uid="{00000000-0004-0000-0000-000010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85546875" style="2" customWidth="1"/>
    <col min="2" max="2" width="54.140625" style="2" customWidth="1"/>
    <col min="3" max="3" width="14.7109375" style="2" customWidth="1"/>
    <col min="4" max="4" width="3.5703125" style="2" customWidth="1"/>
    <col min="5" max="5" width="6.710937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204</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62" t="s">
        <v>12</v>
      </c>
      <c r="C8" s="63"/>
      <c r="D8" s="20"/>
      <c r="E8" s="1"/>
    </row>
    <row r="9" spans="1:5" ht="15" customHeight="1" x14ac:dyDescent="0.25">
      <c r="A9" s="1"/>
      <c r="B9" s="61" t="s">
        <v>130</v>
      </c>
      <c r="C9" s="7">
        <f>'Fane 3. Omkostninger i ØR2023'!C20</f>
        <v>341087843.50246251</v>
      </c>
      <c r="D9" s="8" t="s">
        <v>3</v>
      </c>
      <c r="E9" s="1"/>
    </row>
    <row r="10" spans="1:5" ht="17.100000000000001" customHeight="1" x14ac:dyDescent="0.25">
      <c r="A10" s="1"/>
      <c r="B10" s="65" t="s">
        <v>33</v>
      </c>
      <c r="C10" s="7">
        <f>'Fane 10.1. Varige tillæg'!C22</f>
        <v>17385220.288800001</v>
      </c>
      <c r="D10" s="8" t="s">
        <v>3</v>
      </c>
      <c r="E10" s="1"/>
    </row>
    <row r="11" spans="1:5" ht="17.100000000000001" customHeight="1" x14ac:dyDescent="0.25">
      <c r="A11" s="1"/>
      <c r="B11" s="65" t="s">
        <v>34</v>
      </c>
      <c r="C11" s="9">
        <f>'Fane 10.1. Varige tillæg'!E22</f>
        <v>23457096.325599998</v>
      </c>
      <c r="D11" s="8" t="s">
        <v>3</v>
      </c>
      <c r="E11" s="1"/>
    </row>
    <row r="12" spans="1:5" ht="17.100000000000001" customHeight="1" x14ac:dyDescent="0.25">
      <c r="A12" s="1"/>
      <c r="B12" s="65" t="s">
        <v>25</v>
      </c>
      <c r="C12" s="9">
        <f>-'Fane 12. Bortfald'!C13</f>
        <v>0</v>
      </c>
      <c r="D12" s="8" t="s">
        <v>3</v>
      </c>
      <c r="E12" s="1"/>
    </row>
    <row r="13" spans="1:5" ht="17.100000000000001" customHeight="1" x14ac:dyDescent="0.25">
      <c r="A13" s="1"/>
      <c r="B13" s="65" t="s">
        <v>24</v>
      </c>
      <c r="C13" s="9">
        <f>-'Fane 12. Bortfald'!E13</f>
        <v>0</v>
      </c>
      <c r="D13" s="8" t="s">
        <v>3</v>
      </c>
      <c r="E13" s="1"/>
    </row>
    <row r="14" spans="1:5" ht="17.100000000000001" customHeight="1" x14ac:dyDescent="0.25">
      <c r="A14" s="1"/>
      <c r="B14" s="65" t="s">
        <v>111</v>
      </c>
      <c r="C14" s="9">
        <f>'Fane 11. Tilknyttet virksomhed'!C13</f>
        <v>0</v>
      </c>
      <c r="D14" s="8" t="s">
        <v>3</v>
      </c>
      <c r="E14" s="1"/>
    </row>
    <row r="15" spans="1:5" ht="17.100000000000001" customHeight="1" x14ac:dyDescent="0.25">
      <c r="A15" s="1"/>
      <c r="B15" s="65" t="s">
        <v>112</v>
      </c>
      <c r="C15" s="9">
        <f>'Fane 11. Tilknyttet virksomhed'!E13</f>
        <v>0</v>
      </c>
      <c r="D15" s="8" t="s">
        <v>3</v>
      </c>
      <c r="E15" s="1"/>
    </row>
    <row r="16" spans="1:5" ht="17.100000000000001" customHeight="1" x14ac:dyDescent="0.25">
      <c r="A16" s="1"/>
      <c r="B16" s="65" t="s">
        <v>17</v>
      </c>
      <c r="C16" s="9">
        <f>C9*'Fane 13. Nøgletal'!C15+SUM(C10:C15)*'Fane 13. Nøgletal'!C16</f>
        <v>15442786.411131185</v>
      </c>
      <c r="D16" s="8" t="s">
        <v>3</v>
      </c>
      <c r="E16" s="1"/>
    </row>
    <row r="17" spans="1:5" ht="17.100000000000001" customHeight="1" x14ac:dyDescent="0.25">
      <c r="A17" s="1"/>
      <c r="B17" s="65" t="s">
        <v>9</v>
      </c>
      <c r="C17" s="9">
        <f>-SUM(C9,C10:C16)*'Fane 5. Individuelt eff. krav'!G9</f>
        <v>0</v>
      </c>
      <c r="D17" s="8" t="s">
        <v>3</v>
      </c>
      <c r="E17" s="1"/>
    </row>
    <row r="18" spans="1:5" ht="17.100000000000001" customHeight="1" x14ac:dyDescent="0.25">
      <c r="A18" s="1"/>
      <c r="B18" s="65" t="s">
        <v>22</v>
      </c>
      <c r="C18" s="9">
        <f>-'Fane 4.1. Gen. krav - drift'!G56</f>
        <v>-4647479.6609946117</v>
      </c>
      <c r="D18" s="8" t="s">
        <v>3</v>
      </c>
      <c r="E18" s="1"/>
    </row>
    <row r="19" spans="1:5" ht="17.100000000000001" customHeight="1" x14ac:dyDescent="0.25">
      <c r="A19" s="1"/>
      <c r="B19" s="65" t="s">
        <v>23</v>
      </c>
      <c r="C19" s="9">
        <f>-'Fane 4.2. Gen. krav - anlæg'!G54</f>
        <v>0</v>
      </c>
      <c r="D19" s="8" t="s">
        <v>3</v>
      </c>
      <c r="E19" s="1"/>
    </row>
    <row r="20" spans="1:5" ht="17.100000000000001" customHeight="1" x14ac:dyDescent="0.25">
      <c r="A20" s="1"/>
      <c r="B20" s="83" t="s">
        <v>19</v>
      </c>
      <c r="C20" s="10">
        <f>SUM(C9,C10:C19)</f>
        <v>392725466.86699915</v>
      </c>
      <c r="D20" s="11" t="s">
        <v>3</v>
      </c>
      <c r="E20" s="1"/>
    </row>
    <row r="21" spans="1:5" ht="15" customHeight="1" x14ac:dyDescent="0.25">
      <c r="A21" s="1"/>
      <c r="B21" s="62" t="s">
        <v>11</v>
      </c>
      <c r="C21" s="63"/>
      <c r="D21" s="20"/>
      <c r="E21" s="1"/>
    </row>
    <row r="22" spans="1:5" ht="15" customHeight="1" x14ac:dyDescent="0.25">
      <c r="A22" s="1"/>
      <c r="B22" s="64" t="s">
        <v>11</v>
      </c>
      <c r="C22" s="10">
        <f>'Fane 6. Ikke-påvirkelige omk.'!C19</f>
        <v>262043266.51737919</v>
      </c>
      <c r="D22" s="11" t="s">
        <v>3</v>
      </c>
      <c r="E22" s="1"/>
    </row>
    <row r="23" spans="1:5" ht="15" customHeight="1" x14ac:dyDescent="0.25">
      <c r="A23" s="1"/>
      <c r="B23" s="62" t="s">
        <v>77</v>
      </c>
      <c r="C23" s="63"/>
      <c r="D23" s="20"/>
      <c r="E23" s="1"/>
    </row>
    <row r="24" spans="1:5" ht="15" customHeight="1" x14ac:dyDescent="0.25">
      <c r="A24" s="1"/>
      <c r="B24" s="65" t="s">
        <v>73</v>
      </c>
      <c r="C24" s="9">
        <f>'Fane 10.2. Engangstillæg'!C14</f>
        <v>0</v>
      </c>
      <c r="D24" s="8" t="s">
        <v>3</v>
      </c>
      <c r="E24" s="1"/>
    </row>
    <row r="25" spans="1:5" ht="15" customHeight="1" x14ac:dyDescent="0.25">
      <c r="A25" s="1"/>
      <c r="B25" s="65" t="s">
        <v>74</v>
      </c>
      <c r="C25" s="9">
        <f>'Fane 10.2. Engangstillæg'!E14</f>
        <v>0</v>
      </c>
      <c r="D25" s="8" t="s">
        <v>3</v>
      </c>
      <c r="E25" s="1"/>
    </row>
    <row r="26" spans="1:5" ht="15" customHeight="1" x14ac:dyDescent="0.25">
      <c r="A26" s="1"/>
      <c r="B26" s="65" t="s">
        <v>170</v>
      </c>
      <c r="C26" s="9">
        <f>-C24*('Fane 5. Individuelt eff. krav'!G9+'Fane 13. Nøgletal'!C33)</f>
        <v>0</v>
      </c>
      <c r="D26" s="8" t="s">
        <v>3</v>
      </c>
      <c r="E26" s="1"/>
    </row>
    <row r="27" spans="1:5" ht="15" customHeight="1" x14ac:dyDescent="0.25">
      <c r="A27" s="1"/>
      <c r="B27" s="36" t="s">
        <v>171</v>
      </c>
      <c r="C27" s="9">
        <f>-C25*('Fane 5. Individuelt eff. krav'!G9+'Fane 13. Nøgletal'!C28)</f>
        <v>0</v>
      </c>
      <c r="D27" s="8" t="s">
        <v>3</v>
      </c>
      <c r="E27" s="1"/>
    </row>
    <row r="28" spans="1:5" x14ac:dyDescent="0.25">
      <c r="A28" s="1"/>
      <c r="B28" s="83" t="s">
        <v>78</v>
      </c>
      <c r="C28" s="10">
        <f>SUM(C24:C27)</f>
        <v>0</v>
      </c>
      <c r="D28" s="11" t="s">
        <v>3</v>
      </c>
      <c r="E28" s="1"/>
    </row>
    <row r="29" spans="1:5" x14ac:dyDescent="0.25">
      <c r="A29" s="1"/>
      <c r="B29" s="29" t="s">
        <v>128</v>
      </c>
      <c r="C29" s="63"/>
      <c r="D29" s="20"/>
      <c r="E29" s="1"/>
    </row>
    <row r="30" spans="1:5" x14ac:dyDescent="0.25">
      <c r="A30" s="1"/>
      <c r="B30" s="86" t="s">
        <v>129</v>
      </c>
      <c r="C30" s="10">
        <f>'Fane 7. Kontrol af ØR2022'!E29</f>
        <v>-48678375</v>
      </c>
      <c r="D30" s="11" t="s">
        <v>3</v>
      </c>
      <c r="E30" s="1"/>
    </row>
    <row r="31" spans="1:5" x14ac:dyDescent="0.25">
      <c r="A31" s="1"/>
      <c r="B31" s="29" t="s">
        <v>140</v>
      </c>
      <c r="C31" s="63"/>
      <c r="D31" s="20"/>
      <c r="E31" s="1"/>
    </row>
    <row r="32" spans="1:5" x14ac:dyDescent="0.25">
      <c r="A32" s="1"/>
      <c r="B32" s="86" t="s">
        <v>141</v>
      </c>
      <c r="C32" s="10">
        <f>'Fane 8. Skattesagen'!G13</f>
        <v>0</v>
      </c>
      <c r="D32" s="11" t="s">
        <v>3</v>
      </c>
      <c r="E32" s="1"/>
    </row>
    <row r="33" spans="1:5" x14ac:dyDescent="0.25">
      <c r="A33" s="1"/>
      <c r="B33" s="29" t="s">
        <v>278</v>
      </c>
      <c r="C33" s="63"/>
      <c r="D33" s="20"/>
      <c r="E33" s="1"/>
    </row>
    <row r="34" spans="1:5" x14ac:dyDescent="0.25">
      <c r="A34" s="1"/>
      <c r="B34" s="86" t="s">
        <v>279</v>
      </c>
      <c r="C34" s="10">
        <v>5120490.2747844234</v>
      </c>
      <c r="D34" s="11" t="s">
        <v>3</v>
      </c>
      <c r="E34" s="1"/>
    </row>
    <row r="35" spans="1:5" x14ac:dyDescent="0.25">
      <c r="A35" s="1"/>
      <c r="B35" s="62" t="s">
        <v>115</v>
      </c>
      <c r="C35" s="12">
        <f>SUM(C20,C22,C28,C30,C32,C34)</f>
        <v>611210848.65916276</v>
      </c>
      <c r="D35" s="13" t="s">
        <v>3</v>
      </c>
      <c r="E35" s="1" t="s">
        <v>162</v>
      </c>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wbkt9689S+Ci8EuOCz+1FZb6q85JkO0L6GC30WBclxTWTVxr098Hsyr2+hl0RH5dqEisBOGtGslWcRdI1gTyQ==" saltValue="RVEP41vaqDkcFSn+a+hh+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50.7109375" style="2" customWidth="1"/>
    <col min="3" max="3" width="20.425781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205</v>
      </c>
      <c r="C3" s="111"/>
      <c r="D3" s="111"/>
      <c r="E3" s="1"/>
    </row>
    <row r="4" spans="1:5" ht="15" customHeight="1" x14ac:dyDescent="0.25">
      <c r="A4" s="1"/>
      <c r="B4" s="111"/>
      <c r="C4" s="111"/>
      <c r="D4" s="111"/>
      <c r="E4" s="1"/>
    </row>
    <row r="5" spans="1:5" x14ac:dyDescent="0.25">
      <c r="A5" s="1"/>
      <c r="B5" s="112" t="s">
        <v>20</v>
      </c>
      <c r="C5" s="112"/>
      <c r="D5" s="112"/>
      <c r="E5" s="1"/>
    </row>
    <row r="6" spans="1:5" x14ac:dyDescent="0.25">
      <c r="A6" s="1"/>
      <c r="B6" s="1"/>
      <c r="C6" s="1"/>
      <c r="D6" s="1"/>
      <c r="E6" s="1"/>
    </row>
    <row r="7" spans="1:5" x14ac:dyDescent="0.25">
      <c r="A7" s="1"/>
      <c r="B7" s="1"/>
      <c r="C7" s="1"/>
      <c r="D7" s="1"/>
      <c r="E7" s="1"/>
    </row>
    <row r="8" spans="1:5" x14ac:dyDescent="0.25">
      <c r="A8" s="1"/>
      <c r="B8" s="62" t="s">
        <v>12</v>
      </c>
      <c r="C8" s="63"/>
      <c r="D8" s="20"/>
      <c r="E8" s="1"/>
    </row>
    <row r="9" spans="1:5" ht="15" customHeight="1" x14ac:dyDescent="0.25">
      <c r="A9" s="1"/>
      <c r="B9" s="33" t="s">
        <v>114</v>
      </c>
      <c r="C9" s="7">
        <f>'Fane 2.1. Økonomisk ramme 2024'!C20</f>
        <v>392725466.86699915</v>
      </c>
      <c r="D9" s="8" t="s">
        <v>3</v>
      </c>
      <c r="E9" s="1"/>
    </row>
    <row r="10" spans="1:5" ht="15" customHeight="1" x14ac:dyDescent="0.25">
      <c r="A10" s="1"/>
      <c r="B10" s="61" t="s">
        <v>17</v>
      </c>
      <c r="C10" s="9">
        <f>SUM(C9:C9)*'Fane 13. Nøgletal'!C16</f>
        <v>31732217.72285353</v>
      </c>
      <c r="D10" s="8" t="s">
        <v>3</v>
      </c>
      <c r="E10" s="1"/>
    </row>
    <row r="11" spans="1:5" ht="15" customHeight="1" x14ac:dyDescent="0.25">
      <c r="A11" s="1"/>
      <c r="B11" s="61" t="s">
        <v>9</v>
      </c>
      <c r="C11" s="9">
        <f>-SUM(C9:C10)*'Fane 5. Individuelt eff. krav'!G9</f>
        <v>0</v>
      </c>
      <c r="D11" s="8" t="s">
        <v>3</v>
      </c>
      <c r="E11" s="1"/>
    </row>
    <row r="12" spans="1:5" ht="15" customHeight="1" x14ac:dyDescent="0.25">
      <c r="A12" s="1"/>
      <c r="B12" s="61" t="s">
        <v>22</v>
      </c>
      <c r="C12" s="9">
        <f>-'Fane 4.1. Gen. krav - drift'!G61</f>
        <v>-4922536.097250917</v>
      </c>
      <c r="D12" s="8" t="s">
        <v>3</v>
      </c>
      <c r="E12" s="1"/>
    </row>
    <row r="13" spans="1:5" x14ac:dyDescent="0.25">
      <c r="A13" s="1"/>
      <c r="B13" s="61" t="s">
        <v>23</v>
      </c>
      <c r="C13" s="9">
        <f>-'Fane 4.2. Gen. krav - anlæg'!G59</f>
        <v>0</v>
      </c>
      <c r="D13" s="8" t="s">
        <v>3</v>
      </c>
      <c r="E13" s="1"/>
    </row>
    <row r="14" spans="1:5" ht="15" customHeight="1" x14ac:dyDescent="0.25">
      <c r="A14" s="1"/>
      <c r="B14" s="34" t="s">
        <v>19</v>
      </c>
      <c r="C14" s="10">
        <f>SUM(C9:C13)</f>
        <v>419535148.49260175</v>
      </c>
      <c r="D14" s="11" t="s">
        <v>3</v>
      </c>
      <c r="E14" s="1"/>
    </row>
    <row r="15" spans="1:5" ht="15" customHeight="1" x14ac:dyDescent="0.25">
      <c r="A15" s="1"/>
      <c r="B15" s="62" t="s">
        <v>11</v>
      </c>
      <c r="C15" s="63"/>
      <c r="D15" s="20"/>
      <c r="E15" s="1"/>
    </row>
    <row r="16" spans="1:5" ht="15" customHeight="1" x14ac:dyDescent="0.25">
      <c r="A16" s="1"/>
      <c r="B16" s="64" t="s">
        <v>11</v>
      </c>
      <c r="C16" s="10">
        <f>'Fane 6. Ikke-påvirkelige omk.'!C19*(1+'Fane 13. Nøgletal'!C16)</f>
        <v>283216362.45198345</v>
      </c>
      <c r="D16" s="11" t="s">
        <v>3</v>
      </c>
      <c r="E16" s="1"/>
    </row>
    <row r="17" spans="1:5" ht="15" customHeight="1" x14ac:dyDescent="0.25">
      <c r="A17" s="1"/>
      <c r="B17" s="29" t="s">
        <v>128</v>
      </c>
      <c r="C17" s="63"/>
      <c r="D17" s="20"/>
      <c r="E17" s="1"/>
    </row>
    <row r="18" spans="1:5" ht="15" customHeight="1" x14ac:dyDescent="0.25">
      <c r="A18" s="1"/>
      <c r="B18" s="86" t="s">
        <v>129</v>
      </c>
      <c r="C18" s="10">
        <f>'Fane 7. Kontrol af ØR2022'!E35</f>
        <v>-11932638.5</v>
      </c>
      <c r="D18" s="11" t="s">
        <v>3</v>
      </c>
      <c r="E18" s="1"/>
    </row>
    <row r="19" spans="1:5" x14ac:dyDescent="0.25">
      <c r="A19" s="1"/>
      <c r="B19" s="29" t="s">
        <v>140</v>
      </c>
      <c r="C19" s="63"/>
      <c r="D19" s="20"/>
      <c r="E19" s="1"/>
    </row>
    <row r="20" spans="1:5" x14ac:dyDescent="0.25">
      <c r="A20" s="1"/>
      <c r="B20" s="86" t="s">
        <v>141</v>
      </c>
      <c r="C20" s="10">
        <f>'Fane 8. Skattesagen'!G14</f>
        <v>0</v>
      </c>
      <c r="D20" s="11" t="s">
        <v>3</v>
      </c>
      <c r="E20" s="1"/>
    </row>
    <row r="21" spans="1:5" x14ac:dyDescent="0.25">
      <c r="A21" s="1"/>
      <c r="B21" s="62" t="s">
        <v>131</v>
      </c>
      <c r="C21" s="12">
        <f>SUM(C14,C16,C18,C20)</f>
        <v>690818872.4445852</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HcC/rv13Pa8Pq+SjHhdImNjWHdwxyDpypbtRlleRSNB4whqD6B+a2IK0u9i8UtkbrzIVL+eR3FE0gZGNT5ZpA==" saltValue="F6UKO+z1qdzIP88G1ugBQ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2.85546875" style="2" customWidth="1"/>
    <col min="3" max="3" width="15.140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209</v>
      </c>
      <c r="C3" s="111"/>
      <c r="D3" s="111"/>
      <c r="E3" s="1"/>
    </row>
    <row r="4" spans="1:5" ht="15" customHeight="1" x14ac:dyDescent="0.25">
      <c r="A4" s="1"/>
      <c r="B4" s="111"/>
      <c r="C4" s="111"/>
      <c r="D4" s="111"/>
      <c r="E4" s="1"/>
    </row>
    <row r="5" spans="1:5" x14ac:dyDescent="0.25">
      <c r="A5" s="1"/>
      <c r="B5" s="112" t="s">
        <v>20</v>
      </c>
      <c r="C5" s="112"/>
      <c r="D5" s="112"/>
      <c r="E5" s="1"/>
    </row>
    <row r="6" spans="1:5" x14ac:dyDescent="0.25">
      <c r="A6" s="1"/>
      <c r="B6" s="1"/>
      <c r="C6" s="1"/>
      <c r="D6" s="1"/>
      <c r="E6" s="1"/>
    </row>
    <row r="7" spans="1:5" x14ac:dyDescent="0.25">
      <c r="A7" s="1"/>
      <c r="B7" s="62" t="s">
        <v>12</v>
      </c>
      <c r="C7" s="63"/>
      <c r="D7" s="20"/>
      <c r="E7" s="1"/>
    </row>
    <row r="8" spans="1:5" ht="15" customHeight="1" x14ac:dyDescent="0.25">
      <c r="A8" s="1"/>
      <c r="B8" s="33" t="s">
        <v>149</v>
      </c>
      <c r="C8" s="7">
        <f>'Fane 2.2. Økonomisk ramme 2025'!C14</f>
        <v>419535148.49260175</v>
      </c>
      <c r="D8" s="8" t="s">
        <v>3</v>
      </c>
      <c r="E8" s="1"/>
    </row>
    <row r="9" spans="1:5" ht="15" customHeight="1" x14ac:dyDescent="0.25">
      <c r="A9" s="1"/>
      <c r="B9" s="61" t="s">
        <v>17</v>
      </c>
      <c r="C9" s="9">
        <f>SUM(C8:C8)*'Fane 13. Nøgletal'!C16</f>
        <v>33898439.99820222</v>
      </c>
      <c r="D9" s="8" t="s">
        <v>3</v>
      </c>
      <c r="E9" s="1"/>
    </row>
    <row r="10" spans="1:5" ht="15" customHeight="1" x14ac:dyDescent="0.25">
      <c r="A10" s="1"/>
      <c r="B10" s="61" t="s">
        <v>9</v>
      </c>
      <c r="C10" s="9">
        <f>-SUM(C8,C9:C9)*'Fane 5. Individuelt eff. krav'!G9</f>
        <v>0</v>
      </c>
      <c r="D10" s="8" t="s">
        <v>3</v>
      </c>
      <c r="E10" s="1"/>
    </row>
    <row r="11" spans="1:5" ht="15" customHeight="1" x14ac:dyDescent="0.25">
      <c r="A11" s="1"/>
      <c r="B11" s="61" t="s">
        <v>22</v>
      </c>
      <c r="C11" s="9">
        <f>-'Fane 4.1. Gen. krav - drift'!G66</f>
        <v>-5213871.4736306155</v>
      </c>
      <c r="D11" s="8" t="s">
        <v>3</v>
      </c>
      <c r="E11" s="1"/>
    </row>
    <row r="12" spans="1:5" ht="15" customHeight="1" x14ac:dyDescent="0.25">
      <c r="A12" s="1"/>
      <c r="B12" s="61" t="s">
        <v>23</v>
      </c>
      <c r="C12" s="9">
        <f>-'Fane 4.2. Gen. krav - anlæg'!G64</f>
        <v>0</v>
      </c>
      <c r="D12" s="8" t="s">
        <v>3</v>
      </c>
      <c r="E12" s="1"/>
    </row>
    <row r="13" spans="1:5" ht="17.25" customHeight="1" x14ac:dyDescent="0.25">
      <c r="A13" s="1"/>
      <c r="B13" s="34" t="s">
        <v>19</v>
      </c>
      <c r="C13" s="10">
        <f>SUM(C8,C9:C12)</f>
        <v>448219717.01717335</v>
      </c>
      <c r="D13" s="11" t="s">
        <v>3</v>
      </c>
      <c r="E13" s="1"/>
    </row>
    <row r="14" spans="1:5" x14ac:dyDescent="0.25">
      <c r="A14" s="1"/>
      <c r="B14" s="62" t="s">
        <v>11</v>
      </c>
      <c r="C14" s="63"/>
      <c r="D14" s="20"/>
      <c r="E14" s="1"/>
    </row>
    <row r="15" spans="1:5" ht="15" customHeight="1" x14ac:dyDescent="0.25">
      <c r="A15" s="1"/>
      <c r="B15" s="64" t="s">
        <v>11</v>
      </c>
      <c r="C15" s="10">
        <f>'Fane 6. Ikke-påvirkelige omk.'!C19*(1+'Fane 13. Nøgletal'!C16)^2</f>
        <v>306100244.5381037</v>
      </c>
      <c r="D15" s="11" t="s">
        <v>3</v>
      </c>
      <c r="E15" s="1"/>
    </row>
    <row r="16" spans="1:5" ht="15" customHeight="1" x14ac:dyDescent="0.25">
      <c r="A16" s="1"/>
      <c r="B16" s="29" t="s">
        <v>128</v>
      </c>
      <c r="C16" s="63"/>
      <c r="D16" s="20"/>
      <c r="E16" s="1"/>
    </row>
    <row r="17" spans="1:5" ht="15" customHeight="1" x14ac:dyDescent="0.25">
      <c r="A17" s="1"/>
      <c r="B17" s="86" t="s">
        <v>129</v>
      </c>
      <c r="C17" s="10">
        <f>'Fane 7. Kontrol af ØR2022'!E35</f>
        <v>-11932638.5</v>
      </c>
      <c r="D17" s="11" t="s">
        <v>3</v>
      </c>
      <c r="E17" s="1"/>
    </row>
    <row r="18" spans="1:5" x14ac:dyDescent="0.25">
      <c r="A18" s="1"/>
      <c r="B18" s="29" t="s">
        <v>140</v>
      </c>
      <c r="C18" s="63"/>
      <c r="D18" s="20"/>
      <c r="E18" s="1"/>
    </row>
    <row r="19" spans="1:5" x14ac:dyDescent="0.25">
      <c r="A19" s="1"/>
      <c r="B19" s="86" t="s">
        <v>141</v>
      </c>
      <c r="C19" s="10">
        <f>'Fane 8. Skattesagen'!G15</f>
        <v>0</v>
      </c>
      <c r="D19" s="11" t="s">
        <v>3</v>
      </c>
      <c r="E19" s="1"/>
    </row>
    <row r="20" spans="1:5" x14ac:dyDescent="0.25">
      <c r="A20" s="1"/>
      <c r="B20" s="62" t="s">
        <v>150</v>
      </c>
      <c r="C20" s="12">
        <f>SUM(C13,C15,C17,C19)</f>
        <v>742387323.05527711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qTQ/REUDfebOZUvdFwNiSNZL5q3GQQo1EBLTmw1sWY9lF7M4+UnMphADONbzTd7nYumNwibcCrBibQC6fPlHg==" saltValue="VnQZo2XPeGxj649d5iaN0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58.140625" style="2" customWidth="1"/>
    <col min="3" max="3" width="10.85546875" style="2" bestFit="1" customWidth="1"/>
    <col min="4" max="4" width="3.28515625" style="2" customWidth="1"/>
    <col min="5"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229</v>
      </c>
      <c r="C3" s="111"/>
      <c r="D3" s="111"/>
      <c r="E3" s="1"/>
    </row>
    <row r="4" spans="1:5" ht="15" customHeight="1" x14ac:dyDescent="0.25">
      <c r="A4" s="1"/>
      <c r="B4" s="111"/>
      <c r="C4" s="111"/>
      <c r="D4" s="111"/>
      <c r="E4" s="1"/>
    </row>
    <row r="5" spans="1:5" x14ac:dyDescent="0.25">
      <c r="A5" s="1"/>
      <c r="B5" s="112" t="s">
        <v>20</v>
      </c>
      <c r="C5" s="112"/>
      <c r="D5" s="112"/>
      <c r="E5" s="1"/>
    </row>
    <row r="6" spans="1:5" x14ac:dyDescent="0.25">
      <c r="A6" s="1"/>
      <c r="B6" s="1"/>
      <c r="C6" s="1"/>
      <c r="D6" s="1"/>
      <c r="E6" s="1"/>
    </row>
    <row r="7" spans="1:5" x14ac:dyDescent="0.25">
      <c r="A7" s="1"/>
      <c r="B7" s="62" t="s">
        <v>12</v>
      </c>
      <c r="C7" s="63"/>
      <c r="D7" s="20"/>
      <c r="E7" s="1"/>
    </row>
    <row r="8" spans="1:5" ht="15" customHeight="1" x14ac:dyDescent="0.25">
      <c r="A8" s="1"/>
      <c r="B8" s="33" t="s">
        <v>210</v>
      </c>
      <c r="C8" s="7">
        <f>'Fane 2.3. Økonomisk ramme 2026'!C13</f>
        <v>448219717.01717335</v>
      </c>
      <c r="D8" s="8" t="s">
        <v>3</v>
      </c>
      <c r="E8" s="1"/>
    </row>
    <row r="9" spans="1:5" ht="15" customHeight="1" x14ac:dyDescent="0.25">
      <c r="A9" s="1"/>
      <c r="B9" s="61" t="s">
        <v>17</v>
      </c>
      <c r="C9" s="9">
        <f>SUM(C8:C8)*'Fane 13. Nøgletal'!C16</f>
        <v>36216153.134987608</v>
      </c>
      <c r="D9" s="8" t="s">
        <v>3</v>
      </c>
      <c r="E9" s="1"/>
    </row>
    <row r="10" spans="1:5" ht="15" customHeight="1" x14ac:dyDescent="0.25">
      <c r="A10" s="1"/>
      <c r="B10" s="61" t="s">
        <v>9</v>
      </c>
      <c r="C10" s="9">
        <f>-SUM(C8:C9)*'Fane 5. Individuelt eff. krav'!G9</f>
        <v>0</v>
      </c>
      <c r="D10" s="8" t="s">
        <v>3</v>
      </c>
      <c r="E10" s="1"/>
    </row>
    <row r="11" spans="1:5" ht="15" customHeight="1" x14ac:dyDescent="0.25">
      <c r="A11" s="1"/>
      <c r="B11" s="61" t="s">
        <v>22</v>
      </c>
      <c r="C11" s="9">
        <f>-'Fane 4.1. Gen. krav - drift'!G71</f>
        <v>-5522449.2429259699</v>
      </c>
      <c r="D11" s="8" t="s">
        <v>3</v>
      </c>
      <c r="E11" s="1"/>
    </row>
    <row r="12" spans="1:5" x14ac:dyDescent="0.25">
      <c r="A12" s="1"/>
      <c r="B12" s="61" t="s">
        <v>23</v>
      </c>
      <c r="C12" s="9">
        <f>-'Fane 4.2. Gen. krav - anlæg'!G69</f>
        <v>0</v>
      </c>
      <c r="D12" s="8" t="s">
        <v>3</v>
      </c>
      <c r="E12" s="1"/>
    </row>
    <row r="13" spans="1:5" ht="16.5" customHeight="1" x14ac:dyDescent="0.25">
      <c r="A13" s="1"/>
      <c r="B13" s="34" t="s">
        <v>19</v>
      </c>
      <c r="C13" s="10">
        <f>SUM(C8:C12)</f>
        <v>478913420.909235</v>
      </c>
      <c r="D13" s="11" t="s">
        <v>3</v>
      </c>
      <c r="E13" s="1"/>
    </row>
    <row r="14" spans="1:5" x14ac:dyDescent="0.25">
      <c r="A14" s="1"/>
      <c r="B14" s="62" t="s">
        <v>11</v>
      </c>
      <c r="C14" s="63"/>
      <c r="D14" s="20"/>
      <c r="E14" s="1"/>
    </row>
    <row r="15" spans="1:5" ht="15" customHeight="1" x14ac:dyDescent="0.25">
      <c r="A15" s="1"/>
      <c r="B15" s="64" t="s">
        <v>11</v>
      </c>
      <c r="C15" s="10">
        <f>'Fane 6. Ikke-påvirkelige omk.'!C19*(1+'Fane 13. Nøgletal'!C16)^3</f>
        <v>330833144.29678243</v>
      </c>
      <c r="D15" s="11" t="s">
        <v>3</v>
      </c>
      <c r="E15" s="1"/>
    </row>
    <row r="16" spans="1:5" ht="15" customHeight="1" x14ac:dyDescent="0.25">
      <c r="A16" s="1"/>
      <c r="B16" s="29" t="s">
        <v>128</v>
      </c>
      <c r="C16" s="63"/>
      <c r="D16" s="20"/>
      <c r="E16" s="1"/>
    </row>
    <row r="17" spans="1:5" ht="15" customHeight="1" x14ac:dyDescent="0.25">
      <c r="A17" s="1"/>
      <c r="B17" s="86" t="s">
        <v>129</v>
      </c>
      <c r="C17" s="10">
        <v>0</v>
      </c>
      <c r="D17" s="11" t="s">
        <v>3</v>
      </c>
      <c r="E17" s="1"/>
    </row>
    <row r="18" spans="1:5" x14ac:dyDescent="0.25">
      <c r="A18" s="1"/>
      <c r="B18" s="29" t="s">
        <v>140</v>
      </c>
      <c r="C18" s="63"/>
      <c r="D18" s="20"/>
      <c r="E18" s="1"/>
    </row>
    <row r="19" spans="1:5" x14ac:dyDescent="0.25">
      <c r="A19" s="1"/>
      <c r="B19" s="86" t="s">
        <v>141</v>
      </c>
      <c r="C19" s="10">
        <f>'Fane 8. Skattesagen'!G16</f>
        <v>0</v>
      </c>
      <c r="D19" s="11" t="s">
        <v>3</v>
      </c>
      <c r="E19" s="1"/>
    </row>
    <row r="20" spans="1:5" x14ac:dyDescent="0.25">
      <c r="A20" s="1"/>
      <c r="B20" s="62" t="s">
        <v>211</v>
      </c>
      <c r="C20" s="12">
        <f>SUM(C13,C15,C17,C19)</f>
        <v>809746565.20601749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2vr8g7fL8EcVVxyEsyf72ScdTqKC/BjpGJx4uqau1hqNO1hZnj8dA7kZPHfxPSX7YW6+YKErvSc4H0C4t9Cs5A==" saltValue="k4icaAKpCD5pA61kTuLDm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Normal="100" workbookViewId="0"/>
  </sheetViews>
  <sheetFormatPr defaultColWidth="9.140625" defaultRowHeight="15" x14ac:dyDescent="0.25"/>
  <cols>
    <col min="1" max="1" width="10.7109375" style="2" customWidth="1"/>
    <col min="2" max="2" width="47.28515625" style="2" customWidth="1"/>
    <col min="3" max="3" width="14.7109375" style="2" customWidth="1"/>
    <col min="4" max="4" width="3.5703125" style="2" customWidth="1"/>
    <col min="5" max="5" width="10.710937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3" t="s">
        <v>207</v>
      </c>
      <c r="C3" s="113"/>
      <c r="D3" s="113"/>
      <c r="E3" s="1"/>
    </row>
    <row r="4" spans="1:5" x14ac:dyDescent="0.25">
      <c r="A4" s="1"/>
      <c r="B4" s="113"/>
      <c r="C4" s="113"/>
      <c r="D4" s="11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62" t="s">
        <v>208</v>
      </c>
      <c r="C8" s="63"/>
      <c r="D8" s="20"/>
      <c r="E8" s="1"/>
    </row>
    <row r="9" spans="1:5" ht="26.25" x14ac:dyDescent="0.25">
      <c r="A9" s="1"/>
      <c r="B9" s="61" t="s">
        <v>113</v>
      </c>
      <c r="C9" s="7">
        <v>325289669.14198488</v>
      </c>
      <c r="D9" s="8" t="s">
        <v>3</v>
      </c>
      <c r="E9" s="1"/>
    </row>
    <row r="10" spans="1:5" x14ac:dyDescent="0.25">
      <c r="A10" s="1"/>
      <c r="B10" s="65" t="s">
        <v>33</v>
      </c>
      <c r="C10" s="7">
        <v>1639582.6320000002</v>
      </c>
      <c r="D10" s="8" t="s">
        <v>3</v>
      </c>
      <c r="E10" s="1"/>
    </row>
    <row r="11" spans="1:5" x14ac:dyDescent="0.25">
      <c r="A11" s="1"/>
      <c r="B11" s="65" t="s">
        <v>34</v>
      </c>
      <c r="C11" s="9">
        <v>6497612.2644000007</v>
      </c>
      <c r="D11" s="8" t="s">
        <v>3</v>
      </c>
      <c r="E11" s="1"/>
    </row>
    <row r="12" spans="1:5" x14ac:dyDescent="0.25">
      <c r="A12" s="1"/>
      <c r="B12" s="65" t="s">
        <v>25</v>
      </c>
      <c r="C12" s="9">
        <v>0</v>
      </c>
      <c r="D12" s="8" t="s">
        <v>3</v>
      </c>
      <c r="E12" s="1"/>
    </row>
    <row r="13" spans="1:5" x14ac:dyDescent="0.25">
      <c r="A13" s="1"/>
      <c r="B13" s="65" t="s">
        <v>24</v>
      </c>
      <c r="C13" s="9">
        <v>0</v>
      </c>
      <c r="D13" s="8" t="s">
        <v>3</v>
      </c>
      <c r="E13" s="1"/>
    </row>
    <row r="14" spans="1:5" x14ac:dyDescent="0.25">
      <c r="A14" s="1"/>
      <c r="B14" s="65" t="s">
        <v>111</v>
      </c>
      <c r="C14" s="9">
        <v>0</v>
      </c>
      <c r="D14" s="8" t="s">
        <v>3</v>
      </c>
      <c r="E14" s="1"/>
    </row>
    <row r="15" spans="1:5" x14ac:dyDescent="0.25">
      <c r="A15" s="1"/>
      <c r="B15" s="65" t="s">
        <v>112</v>
      </c>
      <c r="C15" s="9">
        <v>0</v>
      </c>
      <c r="D15" s="8" t="s">
        <v>3</v>
      </c>
      <c r="E15" s="1"/>
    </row>
    <row r="16" spans="1:5" x14ac:dyDescent="0.25">
      <c r="A16" s="1"/>
      <c r="B16" s="65" t="s">
        <v>17</v>
      </c>
      <c r="C16" s="9">
        <v>11869996.359766502</v>
      </c>
      <c r="D16" s="8" t="s">
        <v>3</v>
      </c>
      <c r="E16" s="1"/>
    </row>
    <row r="17" spans="1:5" x14ac:dyDescent="0.25">
      <c r="A17" s="1"/>
      <c r="B17" s="65" t="s">
        <v>9</v>
      </c>
      <c r="C17" s="9">
        <v>0</v>
      </c>
      <c r="D17" s="8" t="s">
        <v>3</v>
      </c>
      <c r="E17" s="1"/>
    </row>
    <row r="18" spans="1:5" x14ac:dyDescent="0.25">
      <c r="A18" s="1"/>
      <c r="B18" s="65" t="s">
        <v>22</v>
      </c>
      <c r="C18" s="9">
        <v>-4209016.8956888942</v>
      </c>
      <c r="D18" s="8" t="s">
        <v>3</v>
      </c>
      <c r="E18" s="1"/>
    </row>
    <row r="19" spans="1:5" x14ac:dyDescent="0.25">
      <c r="A19" s="1"/>
      <c r="B19" s="65" t="s">
        <v>23</v>
      </c>
      <c r="C19" s="9">
        <v>0</v>
      </c>
      <c r="D19" s="8" t="s">
        <v>3</v>
      </c>
      <c r="E19" s="1"/>
    </row>
    <row r="20" spans="1:5" x14ac:dyDescent="0.25">
      <c r="A20" s="1"/>
      <c r="B20" s="83" t="s">
        <v>19</v>
      </c>
      <c r="C20" s="10">
        <v>341087843.50246251</v>
      </c>
      <c r="D20" s="11" t="s">
        <v>3</v>
      </c>
      <c r="E20" s="1"/>
    </row>
    <row r="21" spans="1:5" x14ac:dyDescent="0.25">
      <c r="A21" s="1"/>
      <c r="B21" s="62" t="s">
        <v>11</v>
      </c>
      <c r="C21" s="63"/>
      <c r="D21" s="20"/>
      <c r="E21" s="1"/>
    </row>
    <row r="22" spans="1:5" x14ac:dyDescent="0.25">
      <c r="A22" s="1"/>
      <c r="B22" s="64" t="s">
        <v>11</v>
      </c>
      <c r="C22" s="10">
        <v>219307475.54324451</v>
      </c>
      <c r="D22" s="11" t="s">
        <v>3</v>
      </c>
      <c r="E22" s="1"/>
    </row>
    <row r="23" spans="1:5" x14ac:dyDescent="0.25">
      <c r="A23" s="1"/>
      <c r="B23" s="62" t="s">
        <v>77</v>
      </c>
      <c r="C23" s="63"/>
      <c r="D23" s="20"/>
      <c r="E23" s="1"/>
    </row>
    <row r="24" spans="1:5" x14ac:dyDescent="0.25">
      <c r="A24" s="1"/>
      <c r="B24" s="65" t="s">
        <v>73</v>
      </c>
      <c r="C24" s="9">
        <v>0</v>
      </c>
      <c r="D24" s="8" t="s">
        <v>3</v>
      </c>
      <c r="E24" s="1"/>
    </row>
    <row r="25" spans="1:5" x14ac:dyDescent="0.25">
      <c r="A25" s="1"/>
      <c r="B25" s="65" t="s">
        <v>74</v>
      </c>
      <c r="C25" s="9">
        <v>0</v>
      </c>
      <c r="D25" s="8" t="s">
        <v>3</v>
      </c>
      <c r="E25" s="1"/>
    </row>
    <row r="26" spans="1:5" x14ac:dyDescent="0.25">
      <c r="A26" s="1"/>
      <c r="B26" s="65" t="s">
        <v>170</v>
      </c>
      <c r="C26" s="9">
        <v>0</v>
      </c>
      <c r="D26" s="8" t="s">
        <v>3</v>
      </c>
      <c r="E26" s="1"/>
    </row>
    <row r="27" spans="1:5" x14ac:dyDescent="0.25">
      <c r="A27" s="1"/>
      <c r="B27" s="36" t="s">
        <v>171</v>
      </c>
      <c r="C27" s="9">
        <v>0</v>
      </c>
      <c r="D27" s="8" t="s">
        <v>3</v>
      </c>
      <c r="E27" s="1"/>
    </row>
    <row r="28" spans="1:5" x14ac:dyDescent="0.25">
      <c r="A28" s="1"/>
      <c r="B28" s="83" t="s">
        <v>78</v>
      </c>
      <c r="C28" s="10">
        <v>0</v>
      </c>
      <c r="D28" s="11" t="s">
        <v>3</v>
      </c>
      <c r="E28" s="1"/>
    </row>
    <row r="29" spans="1:5" x14ac:dyDescent="0.25">
      <c r="A29" s="1"/>
      <c r="B29" s="29" t="s">
        <v>128</v>
      </c>
      <c r="C29" s="63"/>
      <c r="D29" s="20"/>
      <c r="E29" s="1"/>
    </row>
    <row r="30" spans="1:5" x14ac:dyDescent="0.25">
      <c r="A30" s="1"/>
      <c r="B30" s="86" t="s">
        <v>129</v>
      </c>
      <c r="C30" s="10">
        <v>-48678374.82250452</v>
      </c>
      <c r="D30" s="11" t="s">
        <v>3</v>
      </c>
      <c r="E30" s="1"/>
    </row>
    <row r="31" spans="1:5" x14ac:dyDescent="0.25">
      <c r="A31" s="1"/>
      <c r="B31" s="29" t="s">
        <v>140</v>
      </c>
      <c r="C31" s="63"/>
      <c r="D31" s="20"/>
      <c r="E31" s="1"/>
    </row>
    <row r="32" spans="1:5" x14ac:dyDescent="0.25">
      <c r="A32" s="1"/>
      <c r="B32" s="86" t="s">
        <v>141</v>
      </c>
      <c r="C32" s="10">
        <v>0</v>
      </c>
      <c r="D32" s="11" t="s">
        <v>3</v>
      </c>
      <c r="E32" s="1"/>
    </row>
    <row r="33" spans="1:5" x14ac:dyDescent="0.25">
      <c r="A33" s="1"/>
      <c r="B33" s="62" t="s">
        <v>249</v>
      </c>
      <c r="C33" s="12">
        <v>511716944.22320247</v>
      </c>
      <c r="D33" s="13" t="s">
        <v>3</v>
      </c>
      <c r="E33" s="1"/>
    </row>
    <row r="34" spans="1:5" ht="30" customHeight="1" x14ac:dyDescent="0.25">
      <c r="A34" s="1"/>
      <c r="B34" s="114" t="s">
        <v>250</v>
      </c>
      <c r="C34" s="114"/>
      <c r="D34" s="114"/>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Vb7wr0P1tfmspEkCHx4SXJRrdc4cDWyIpSCR0Jj6m0UybIis+PcRAkc/I92GDU9lFWhzA2pQz4CwSeV2ZqtzMg==" saltValue="pKZFOZdmvp5g7NYiR5MMtg==" spinCount="100000" sheet="1" objects="1" scenarios="1"/>
  <mergeCells count="2">
    <mergeCell ref="B3:D4"/>
    <mergeCell ref="B34:D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4.5703125" style="2" customWidth="1"/>
    <col min="2" max="5" width="9.140625" style="2"/>
    <col min="6" max="6" width="23.140625" style="2" customWidth="1"/>
    <col min="7" max="7" width="11.7109375" style="55" customWidth="1"/>
    <col min="8" max="8" width="2.85546875" style="2" customWidth="1"/>
    <col min="9" max="9" width="4.5703125" style="2" customWidth="1"/>
    <col min="10" max="16384" width="9.140625" style="2"/>
  </cols>
  <sheetData>
    <row r="1" spans="1:9" x14ac:dyDescent="0.25">
      <c r="A1" s="1"/>
      <c r="B1" s="1"/>
      <c r="C1" s="1"/>
      <c r="D1" s="1"/>
      <c r="E1" s="1"/>
      <c r="F1" s="1"/>
      <c r="G1" s="52"/>
      <c r="H1" s="1"/>
      <c r="I1" s="1"/>
    </row>
    <row r="2" spans="1:9" ht="15" customHeight="1" x14ac:dyDescent="0.25">
      <c r="A2" s="1"/>
      <c r="B2" s="113" t="s">
        <v>90</v>
      </c>
      <c r="C2" s="113"/>
      <c r="D2" s="113"/>
      <c r="E2" s="113"/>
      <c r="F2" s="113"/>
      <c r="G2" s="113"/>
      <c r="H2" s="113"/>
      <c r="I2" s="1"/>
    </row>
    <row r="3" spans="1:9" ht="15" customHeight="1" x14ac:dyDescent="0.25">
      <c r="A3" s="1"/>
      <c r="B3" s="113"/>
      <c r="C3" s="113"/>
      <c r="D3" s="113"/>
      <c r="E3" s="113"/>
      <c r="F3" s="113"/>
      <c r="G3" s="113"/>
      <c r="H3" s="113"/>
      <c r="I3" s="1"/>
    </row>
    <row r="4" spans="1:9" ht="15" customHeight="1" x14ac:dyDescent="0.25">
      <c r="A4" s="1"/>
      <c r="B4" s="113"/>
      <c r="C4" s="113"/>
      <c r="D4" s="113"/>
      <c r="E4" s="113"/>
      <c r="F4" s="113"/>
      <c r="G4" s="113"/>
      <c r="H4" s="113"/>
      <c r="I4" s="1"/>
    </row>
    <row r="5" spans="1:9" x14ac:dyDescent="0.25">
      <c r="A5" s="1"/>
      <c r="B5" s="115" t="s">
        <v>45</v>
      </c>
      <c r="C5" s="116"/>
      <c r="D5" s="116"/>
      <c r="E5" s="116"/>
      <c r="F5" s="116"/>
      <c r="G5" s="116"/>
      <c r="H5" s="117"/>
      <c r="I5" s="1"/>
    </row>
    <row r="6" spans="1:9" x14ac:dyDescent="0.25">
      <c r="A6" s="1"/>
      <c r="B6" s="118" t="s">
        <v>36</v>
      </c>
      <c r="C6" s="119"/>
      <c r="D6" s="119"/>
      <c r="E6" s="119"/>
      <c r="F6" s="120"/>
      <c r="G6" s="67">
        <v>195034903.28610891</v>
      </c>
      <c r="H6" s="14" t="s">
        <v>3</v>
      </c>
      <c r="I6" s="1"/>
    </row>
    <row r="7" spans="1:9" x14ac:dyDescent="0.25">
      <c r="A7" s="1"/>
      <c r="B7" s="118" t="s">
        <v>37</v>
      </c>
      <c r="C7" s="119"/>
      <c r="D7" s="119"/>
      <c r="E7" s="119"/>
      <c r="F7" s="120"/>
      <c r="G7" s="53">
        <f>G6*'Fane 13. Nøgletal'!C33</f>
        <v>3900698.0657221782</v>
      </c>
      <c r="H7" s="14" t="s">
        <v>3</v>
      </c>
      <c r="I7" s="1"/>
    </row>
    <row r="8" spans="1:9" x14ac:dyDescent="0.25">
      <c r="A8" s="1"/>
      <c r="B8" s="62"/>
      <c r="C8" s="63"/>
      <c r="D8" s="63"/>
      <c r="E8" s="63"/>
      <c r="F8" s="63"/>
      <c r="G8" s="54"/>
      <c r="H8" s="20"/>
      <c r="I8" s="1"/>
    </row>
    <row r="9" spans="1:9" x14ac:dyDescent="0.25">
      <c r="A9" s="1"/>
      <c r="B9" s="1"/>
      <c r="C9" s="1"/>
      <c r="D9" s="1"/>
      <c r="E9" s="1"/>
      <c r="F9" s="1"/>
      <c r="G9" s="52"/>
      <c r="H9" s="1"/>
      <c r="I9" s="1"/>
    </row>
    <row r="10" spans="1:9" x14ac:dyDescent="0.25">
      <c r="A10" s="1"/>
      <c r="B10" s="115" t="s">
        <v>46</v>
      </c>
      <c r="C10" s="116"/>
      <c r="D10" s="116"/>
      <c r="E10" s="116"/>
      <c r="F10" s="116"/>
      <c r="G10" s="116"/>
      <c r="H10" s="117"/>
      <c r="I10" s="1"/>
    </row>
    <row r="11" spans="1:9" x14ac:dyDescent="0.25">
      <c r="A11" s="1"/>
      <c r="B11" s="118" t="s">
        <v>38</v>
      </c>
      <c r="C11" s="119"/>
      <c r="D11" s="119"/>
      <c r="E11" s="119"/>
      <c r="F11" s="120"/>
      <c r="G11" s="53">
        <f>(G6-G7)*(1+'Fane 13. Nøgletal'!C9)</f>
        <v>193561609.62668565</v>
      </c>
      <c r="H11" s="14" t="s">
        <v>3</v>
      </c>
      <c r="I11" s="1"/>
    </row>
    <row r="12" spans="1:9" x14ac:dyDescent="0.25">
      <c r="A12" s="1"/>
      <c r="B12" s="124" t="s">
        <v>232</v>
      </c>
      <c r="C12" s="125"/>
      <c r="D12" s="125"/>
      <c r="E12" s="125"/>
      <c r="F12" s="126"/>
      <c r="G12" s="67">
        <v>0</v>
      </c>
      <c r="H12" s="14" t="s">
        <v>3</v>
      </c>
      <c r="I12" s="1"/>
    </row>
    <row r="13" spans="1:9" x14ac:dyDescent="0.25">
      <c r="A13" s="1"/>
      <c r="B13" s="118" t="s">
        <v>39</v>
      </c>
      <c r="C13" s="119"/>
      <c r="D13" s="119"/>
      <c r="E13" s="119"/>
      <c r="F13" s="120"/>
      <c r="G13" s="53">
        <f>(G11+G12)*'Fane 13. Nøgletal'!C33</f>
        <v>3871232.1925337128</v>
      </c>
      <c r="H13" s="14" t="s">
        <v>3</v>
      </c>
      <c r="I13" s="1"/>
    </row>
    <row r="14" spans="1:9" x14ac:dyDescent="0.25">
      <c r="A14" s="1"/>
      <c r="B14" s="62"/>
      <c r="C14" s="63"/>
      <c r="D14" s="63"/>
      <c r="E14" s="63"/>
      <c r="F14" s="63"/>
      <c r="G14" s="54"/>
      <c r="H14" s="20"/>
      <c r="I14" s="1"/>
    </row>
    <row r="15" spans="1:9" x14ac:dyDescent="0.25">
      <c r="A15" s="1"/>
      <c r="B15" s="1"/>
      <c r="C15" s="1"/>
      <c r="D15" s="1"/>
      <c r="E15" s="1"/>
      <c r="F15" s="1"/>
      <c r="G15" s="52"/>
      <c r="H15" s="1"/>
      <c r="I15" s="1"/>
    </row>
    <row r="16" spans="1:9" x14ac:dyDescent="0.25">
      <c r="A16" s="1"/>
      <c r="B16" s="115" t="s">
        <v>47</v>
      </c>
      <c r="C16" s="116"/>
      <c r="D16" s="116"/>
      <c r="E16" s="116"/>
      <c r="F16" s="116"/>
      <c r="G16" s="116"/>
      <c r="H16" s="117"/>
      <c r="I16" s="1"/>
    </row>
    <row r="17" spans="1:9" x14ac:dyDescent="0.25">
      <c r="A17" s="1"/>
      <c r="B17" s="118" t="s">
        <v>40</v>
      </c>
      <c r="C17" s="119"/>
      <c r="D17" s="119"/>
      <c r="E17" s="119"/>
      <c r="F17" s="120"/>
      <c r="G17" s="53">
        <f>(G11+G12-G13)*(1+'Fane 13. Nøgletal'!C11)</f>
        <v>192896144.81278911</v>
      </c>
      <c r="H17" s="14" t="s">
        <v>3</v>
      </c>
      <c r="I17" s="1"/>
    </row>
    <row r="18" spans="1:9" x14ac:dyDescent="0.25">
      <c r="A18" s="1"/>
      <c r="B18" s="118" t="s">
        <v>108</v>
      </c>
      <c r="C18" s="119"/>
      <c r="D18" s="119"/>
      <c r="E18" s="119"/>
      <c r="F18" s="120"/>
      <c r="G18" s="67">
        <v>-394972.07007721695</v>
      </c>
      <c r="H18" s="14" t="s">
        <v>3</v>
      </c>
      <c r="I18" s="1"/>
    </row>
    <row r="19" spans="1:9" x14ac:dyDescent="0.25">
      <c r="A19" s="1"/>
      <c r="B19" s="124" t="s">
        <v>233</v>
      </c>
      <c r="C19" s="125"/>
      <c r="D19" s="125"/>
      <c r="E19" s="125"/>
      <c r="F19" s="126"/>
      <c r="G19" s="67">
        <v>0</v>
      </c>
      <c r="H19" s="14" t="s">
        <v>3</v>
      </c>
      <c r="I19" s="1"/>
    </row>
    <row r="20" spans="1:9" x14ac:dyDescent="0.25">
      <c r="A20" s="1"/>
      <c r="B20" s="118" t="s">
        <v>41</v>
      </c>
      <c r="C20" s="119"/>
      <c r="D20" s="119"/>
      <c r="E20" s="119"/>
      <c r="F20" s="120"/>
      <c r="G20" s="53">
        <f>SUM(G17:G19)*'Fane 13. Nøgletal'!C33</f>
        <v>3850023.4548542383</v>
      </c>
      <c r="H20" s="14" t="s">
        <v>3</v>
      </c>
      <c r="I20" s="1"/>
    </row>
    <row r="21" spans="1:9" x14ac:dyDescent="0.25">
      <c r="A21" s="1"/>
      <c r="B21" s="62"/>
      <c r="C21" s="63"/>
      <c r="D21" s="63"/>
      <c r="E21" s="63"/>
      <c r="F21" s="63"/>
      <c r="G21" s="54"/>
      <c r="H21" s="20"/>
      <c r="I21" s="1"/>
    </row>
    <row r="22" spans="1:9" x14ac:dyDescent="0.25">
      <c r="A22" s="1"/>
      <c r="B22" s="1"/>
      <c r="C22" s="1"/>
      <c r="D22" s="1"/>
      <c r="E22" s="1"/>
      <c r="F22" s="1"/>
      <c r="G22" s="52"/>
      <c r="H22" s="1"/>
      <c r="I22" s="1"/>
    </row>
    <row r="23" spans="1:9" x14ac:dyDescent="0.25">
      <c r="A23" s="1"/>
      <c r="B23" s="115" t="s">
        <v>48</v>
      </c>
      <c r="C23" s="116"/>
      <c r="D23" s="116"/>
      <c r="E23" s="116"/>
      <c r="F23" s="116"/>
      <c r="G23" s="116"/>
      <c r="H23" s="117"/>
      <c r="I23" s="1"/>
    </row>
    <row r="24" spans="1:9" x14ac:dyDescent="0.25">
      <c r="A24" s="1"/>
      <c r="B24" s="118" t="s">
        <v>42</v>
      </c>
      <c r="C24" s="119"/>
      <c r="D24" s="119"/>
      <c r="E24" s="119"/>
      <c r="F24" s="120"/>
      <c r="G24" s="53">
        <f>(G17+G18+G19-G20)*(1+'Fane 13. Nøgletal'!C11)</f>
        <v>191839353.71082243</v>
      </c>
      <c r="H24" s="14" t="s">
        <v>3</v>
      </c>
      <c r="I24" s="1"/>
    </row>
    <row r="25" spans="1:9" x14ac:dyDescent="0.25">
      <c r="A25" s="1"/>
      <c r="B25" s="124" t="s">
        <v>43</v>
      </c>
      <c r="C25" s="125"/>
      <c r="D25" s="125"/>
      <c r="E25" s="125"/>
      <c r="F25" s="126"/>
      <c r="G25" s="67">
        <v>2629301.7453021002</v>
      </c>
      <c r="H25" s="14" t="s">
        <v>3</v>
      </c>
      <c r="I25" s="1"/>
    </row>
    <row r="26" spans="1:9" x14ac:dyDescent="0.25">
      <c r="A26" s="1"/>
      <c r="B26" s="118" t="s">
        <v>44</v>
      </c>
      <c r="C26" s="119"/>
      <c r="D26" s="119"/>
      <c r="E26" s="119"/>
      <c r="F26" s="120"/>
      <c r="G26" s="53">
        <f>(G24+G25)*'Fane 13. Nøgletal'!C33</f>
        <v>3889373.109122491</v>
      </c>
      <c r="H26" s="14" t="s">
        <v>3</v>
      </c>
      <c r="I26" s="1"/>
    </row>
    <row r="27" spans="1:9" x14ac:dyDescent="0.25">
      <c r="A27" s="1"/>
      <c r="B27" s="62"/>
      <c r="C27" s="63"/>
      <c r="D27" s="63"/>
      <c r="E27" s="63"/>
      <c r="F27" s="63"/>
      <c r="G27" s="54"/>
      <c r="H27" s="20"/>
      <c r="I27" s="1"/>
    </row>
    <row r="28" spans="1:9" x14ac:dyDescent="0.25">
      <c r="A28" s="1"/>
      <c r="B28" s="1"/>
      <c r="C28" s="1"/>
      <c r="D28" s="1"/>
      <c r="E28" s="1"/>
      <c r="F28" s="1"/>
      <c r="G28" s="52"/>
      <c r="H28" s="1"/>
      <c r="I28" s="1"/>
    </row>
    <row r="29" spans="1:9" x14ac:dyDescent="0.25">
      <c r="A29" s="1"/>
      <c r="B29" s="115" t="s">
        <v>51</v>
      </c>
      <c r="C29" s="116"/>
      <c r="D29" s="116"/>
      <c r="E29" s="116"/>
      <c r="F29" s="116"/>
      <c r="G29" s="116"/>
      <c r="H29" s="117"/>
      <c r="I29" s="1"/>
    </row>
    <row r="30" spans="1:9" x14ac:dyDescent="0.25">
      <c r="A30" s="1"/>
      <c r="B30" s="118" t="s">
        <v>52</v>
      </c>
      <c r="C30" s="119"/>
      <c r="D30" s="119"/>
      <c r="E30" s="119"/>
      <c r="F30" s="120"/>
      <c r="G30" s="53">
        <f>G24*(1-'Fane 13. Nøgletal'!C33)*(1+'Fane 13. Nøgletal'!C11)+G25*(1-'Fane 13. Nøgletal'!C33)*(1+'Fane 13. Nøgletal'!C12)</f>
        <v>193807287.02265546</v>
      </c>
      <c r="H30" s="14" t="s">
        <v>3</v>
      </c>
      <c r="I30" s="1"/>
    </row>
    <row r="31" spans="1:9" x14ac:dyDescent="0.25">
      <c r="A31" s="1"/>
      <c r="B31" s="121" t="s">
        <v>104</v>
      </c>
      <c r="C31" s="122"/>
      <c r="D31" s="122"/>
      <c r="E31" s="122"/>
      <c r="F31" s="123"/>
      <c r="G31" s="53">
        <f>G25*(1-'Fane 13. Nøgletal'!C33)*(1+'Fane 13. Nøgletal'!C12)</f>
        <v>2627477.0098908604</v>
      </c>
      <c r="H31" s="14" t="s">
        <v>3</v>
      </c>
      <c r="I31" s="1"/>
    </row>
    <row r="32" spans="1:9" x14ac:dyDescent="0.25">
      <c r="A32" s="1"/>
      <c r="B32" s="118" t="s">
        <v>234</v>
      </c>
      <c r="C32" s="119"/>
      <c r="D32" s="119"/>
      <c r="E32" s="119"/>
      <c r="F32" s="120"/>
      <c r="G32" s="67">
        <v>12644093.499435719</v>
      </c>
      <c r="H32" s="14" t="s">
        <v>3</v>
      </c>
      <c r="I32" s="1"/>
    </row>
    <row r="33" spans="1:9" x14ac:dyDescent="0.25">
      <c r="A33" s="1"/>
      <c r="B33" s="118" t="s">
        <v>53</v>
      </c>
      <c r="C33" s="119"/>
      <c r="D33" s="119"/>
      <c r="E33" s="119"/>
      <c r="F33" s="120"/>
      <c r="G33" s="53">
        <f>(G30+G32)*'Fane 13. Nøgletal'!C33</f>
        <v>4129027.6104418235</v>
      </c>
      <c r="H33" s="14" t="s">
        <v>3</v>
      </c>
      <c r="I33" s="1"/>
    </row>
    <row r="34" spans="1:9" x14ac:dyDescent="0.25">
      <c r="A34" s="1"/>
      <c r="B34" s="62"/>
      <c r="C34" s="63"/>
      <c r="D34" s="63"/>
      <c r="E34" s="63"/>
      <c r="F34" s="63"/>
      <c r="G34" s="54"/>
      <c r="H34" s="20"/>
      <c r="I34" s="1"/>
    </row>
    <row r="35" spans="1:9" x14ac:dyDescent="0.25">
      <c r="A35" s="1"/>
      <c r="B35" s="1"/>
      <c r="C35" s="1"/>
      <c r="D35" s="1"/>
      <c r="E35" s="1"/>
      <c r="F35" s="1"/>
      <c r="G35" s="52"/>
      <c r="H35" s="1"/>
      <c r="I35" s="1"/>
    </row>
    <row r="36" spans="1:9" x14ac:dyDescent="0.25">
      <c r="A36" s="1"/>
      <c r="B36" s="115" t="s">
        <v>89</v>
      </c>
      <c r="C36" s="116"/>
      <c r="D36" s="116"/>
      <c r="E36" s="116"/>
      <c r="F36" s="116"/>
      <c r="G36" s="116"/>
      <c r="H36" s="117"/>
      <c r="I36" s="1"/>
    </row>
    <row r="37" spans="1:9" x14ac:dyDescent="0.25">
      <c r="A37" s="1"/>
      <c r="B37" s="118" t="s">
        <v>71</v>
      </c>
      <c r="C37" s="119"/>
      <c r="D37" s="119"/>
      <c r="E37" s="119"/>
      <c r="F37" s="120"/>
      <c r="G37" s="53">
        <f>(G30-G31)*(1-'Fane 13. Nøgletal'!C33)*(1+'Fane 13. Nøgletal'!C11)+G31*(1-'Fane 13. Nøgletal'!C33)*(1+'Fane 13. Nøgletal'!C12)+G32*(1-'Fane 13. Nøgletal'!C33)*(1+'Fane 13. Nøgletal'!C13)</f>
        <v>205690571.77811295</v>
      </c>
      <c r="H37" s="14" t="s">
        <v>3</v>
      </c>
      <c r="I37" s="1"/>
    </row>
    <row r="38" spans="1:9" x14ac:dyDescent="0.25">
      <c r="A38" s="1"/>
      <c r="B38" s="121" t="s">
        <v>104</v>
      </c>
      <c r="C38" s="122"/>
      <c r="D38" s="122"/>
      <c r="E38" s="122"/>
      <c r="F38" s="123"/>
      <c r="G38" s="53">
        <f>G31*(1-'Fane 13. Nøgletal'!C33)*(1+'Fane 13. Nøgletal'!C12)</f>
        <v>2625653.5408459962</v>
      </c>
      <c r="H38" s="14" t="s">
        <v>3</v>
      </c>
      <c r="I38" s="1"/>
    </row>
    <row r="39" spans="1:9" x14ac:dyDescent="0.25">
      <c r="A39" s="1"/>
      <c r="B39" s="121" t="s">
        <v>122</v>
      </c>
      <c r="C39" s="119"/>
      <c r="D39" s="119"/>
      <c r="E39" s="119"/>
      <c r="F39" s="120"/>
      <c r="G39" s="53">
        <f>G32*(1-'Fane 13. Nøgletal'!C33)*(1+'Fane 13. Nøgletal'!C13)</f>
        <v>12542384.411326258</v>
      </c>
      <c r="H39" s="14" t="s">
        <v>3</v>
      </c>
      <c r="I39" s="1"/>
    </row>
    <row r="40" spans="1:9" x14ac:dyDescent="0.25">
      <c r="A40" s="1"/>
      <c r="B40" s="118" t="s">
        <v>235</v>
      </c>
      <c r="C40" s="119"/>
      <c r="D40" s="119"/>
      <c r="E40" s="119"/>
      <c r="F40" s="120"/>
      <c r="G40" s="67">
        <v>0</v>
      </c>
      <c r="H40" s="14" t="s">
        <v>3</v>
      </c>
      <c r="I40" s="1"/>
    </row>
    <row r="41" spans="1:9" x14ac:dyDescent="0.25">
      <c r="A41" s="1"/>
      <c r="B41" s="118" t="s">
        <v>105</v>
      </c>
      <c r="C41" s="119"/>
      <c r="D41" s="119"/>
      <c r="E41" s="119"/>
      <c r="F41" s="120"/>
      <c r="G41" s="53">
        <f>(G37+G40)*'Fane 13. Nøgletal'!C33</f>
        <v>4113811.4355622591</v>
      </c>
      <c r="H41" s="14" t="s">
        <v>3</v>
      </c>
      <c r="I41" s="1"/>
    </row>
    <row r="42" spans="1:9" x14ac:dyDescent="0.25">
      <c r="A42" s="1"/>
      <c r="B42" s="62"/>
      <c r="C42" s="63"/>
      <c r="D42" s="63"/>
      <c r="E42" s="63"/>
      <c r="F42" s="63"/>
      <c r="G42" s="54"/>
      <c r="H42" s="20"/>
      <c r="I42" s="1"/>
    </row>
    <row r="43" spans="1:9" x14ac:dyDescent="0.25">
      <c r="A43" s="1"/>
      <c r="B43" s="1"/>
      <c r="C43" s="1"/>
      <c r="D43" s="1"/>
      <c r="E43" s="1"/>
      <c r="F43" s="1"/>
      <c r="G43" s="52"/>
      <c r="H43" s="1"/>
      <c r="I43" s="1"/>
    </row>
    <row r="44" spans="1:9" x14ac:dyDescent="0.25">
      <c r="A44" s="1"/>
      <c r="B44" s="115" t="s">
        <v>173</v>
      </c>
      <c r="C44" s="116"/>
      <c r="D44" s="116"/>
      <c r="E44" s="116"/>
      <c r="F44" s="116"/>
      <c r="G44" s="116"/>
      <c r="H44" s="117"/>
      <c r="I44" s="1"/>
    </row>
    <row r="45" spans="1:9" x14ac:dyDescent="0.25">
      <c r="A45" s="1"/>
      <c r="B45" s="118" t="s">
        <v>70</v>
      </c>
      <c r="C45" s="119"/>
      <c r="D45" s="119"/>
      <c r="E45" s="119"/>
      <c r="F45" s="120"/>
      <c r="G45" s="53">
        <f>(G37+G40-G41)*(1+'Fane 13. Nøgletal'!C15)</f>
        <v>208752893.01074553</v>
      </c>
      <c r="H45" s="14" t="s">
        <v>3</v>
      </c>
      <c r="I45" s="1"/>
    </row>
    <row r="46" spans="1:9" x14ac:dyDescent="0.25">
      <c r="A46" s="1"/>
      <c r="B46" s="82" t="s">
        <v>236</v>
      </c>
      <c r="C46" s="79"/>
      <c r="D46" s="79"/>
      <c r="E46" s="79"/>
      <c r="F46" s="80"/>
      <c r="G46" s="58">
        <v>1697951.7736992002</v>
      </c>
      <c r="H46" s="14" t="s">
        <v>3</v>
      </c>
      <c r="I46" s="1"/>
    </row>
    <row r="47" spans="1:9" x14ac:dyDescent="0.25">
      <c r="A47" s="1"/>
      <c r="B47" s="118" t="s">
        <v>165</v>
      </c>
      <c r="C47" s="119"/>
      <c r="D47" s="119"/>
      <c r="E47" s="119"/>
      <c r="F47" s="120"/>
      <c r="G47" s="53">
        <f>(G45+G46)*'Fane 13. Nøgletal'!C33</f>
        <v>4209016.8956888942</v>
      </c>
      <c r="H47" s="14" t="s">
        <v>3</v>
      </c>
      <c r="I47" s="1"/>
    </row>
    <row r="48" spans="1:9" x14ac:dyDescent="0.25">
      <c r="A48" s="1"/>
      <c r="B48" s="62"/>
      <c r="C48" s="63"/>
      <c r="D48" s="63"/>
      <c r="E48" s="63"/>
      <c r="F48" s="63"/>
      <c r="G48" s="54"/>
      <c r="H48" s="20"/>
      <c r="I48" s="1"/>
    </row>
    <row r="49" spans="1:9" x14ac:dyDescent="0.25">
      <c r="A49" s="1"/>
      <c r="B49" s="1"/>
      <c r="C49" s="1"/>
      <c r="D49" s="1"/>
      <c r="E49" s="1"/>
      <c r="F49" s="1"/>
      <c r="G49" s="52"/>
      <c r="H49" s="1"/>
      <c r="I49" s="1"/>
    </row>
    <row r="50" spans="1:9" x14ac:dyDescent="0.25">
      <c r="A50" s="1"/>
      <c r="B50" s="1"/>
      <c r="C50" s="1"/>
      <c r="D50" s="1"/>
      <c r="E50" s="1"/>
      <c r="F50" s="1"/>
      <c r="G50" s="52"/>
      <c r="H50" s="1"/>
      <c r="I50" s="1"/>
    </row>
    <row r="51" spans="1:9" x14ac:dyDescent="0.25">
      <c r="A51" s="1"/>
      <c r="B51" s="1"/>
      <c r="C51" s="1"/>
      <c r="D51" s="1"/>
      <c r="E51" s="1"/>
      <c r="F51" s="1"/>
      <c r="G51" s="52"/>
      <c r="H51" s="1"/>
      <c r="I51" s="1"/>
    </row>
    <row r="52" spans="1:9" x14ac:dyDescent="0.25">
      <c r="A52" s="1"/>
      <c r="B52" s="1"/>
      <c r="C52" s="1"/>
      <c r="D52" s="1"/>
      <c r="E52" s="1"/>
      <c r="F52" s="1"/>
      <c r="G52" s="52"/>
      <c r="H52" s="1"/>
      <c r="I52" s="1"/>
    </row>
    <row r="53" spans="1:9" x14ac:dyDescent="0.25">
      <c r="A53" s="1"/>
      <c r="B53" s="115" t="s">
        <v>172</v>
      </c>
      <c r="C53" s="116"/>
      <c r="D53" s="116"/>
      <c r="E53" s="116"/>
      <c r="F53" s="116"/>
      <c r="G53" s="116"/>
      <c r="H53" s="117"/>
      <c r="I53" s="1"/>
    </row>
    <row r="54" spans="1:9" x14ac:dyDescent="0.25">
      <c r="A54" s="1"/>
      <c r="B54" s="118" t="s">
        <v>120</v>
      </c>
      <c r="C54" s="119"/>
      <c r="D54" s="119"/>
      <c r="E54" s="119"/>
      <c r="F54" s="120"/>
      <c r="G54" s="53">
        <f>(G45+G46-G47)*(1+'Fane 13. Nøgletal'!C15)</f>
        <v>213584036.96159557</v>
      </c>
      <c r="H54" s="14" t="s">
        <v>3</v>
      </c>
      <c r="I54" s="1"/>
    </row>
    <row r="55" spans="1:9" x14ac:dyDescent="0.25">
      <c r="A55" s="1"/>
      <c r="B55" s="82" t="s">
        <v>237</v>
      </c>
      <c r="C55" s="79"/>
      <c r="D55" s="79"/>
      <c r="E55" s="79"/>
      <c r="F55" s="80"/>
      <c r="G55" s="58">
        <f>SUM('Fane 2.1. Økonomisk ramme 2024'!C10,'Fane 2.1. Økonomisk ramme 2024'!C14,-'Fane 12. Bortfald'!C13)*(1+'Fane 13. Nøgletal'!C16)</f>
        <v>18789946.088135041</v>
      </c>
      <c r="H55" s="14" t="s">
        <v>3</v>
      </c>
      <c r="I55" s="1"/>
    </row>
    <row r="56" spans="1:9" x14ac:dyDescent="0.25">
      <c r="A56" s="1"/>
      <c r="B56" s="118" t="s">
        <v>121</v>
      </c>
      <c r="C56" s="119"/>
      <c r="D56" s="119"/>
      <c r="E56" s="119"/>
      <c r="F56" s="120"/>
      <c r="G56" s="53">
        <f>(G54+G55)*'Fane 13. Nøgletal'!C33</f>
        <v>4647479.6609946117</v>
      </c>
      <c r="H56" s="14" t="s">
        <v>3</v>
      </c>
      <c r="I56" s="1"/>
    </row>
    <row r="57" spans="1:9" x14ac:dyDescent="0.25">
      <c r="A57" s="1"/>
      <c r="B57" s="62"/>
      <c r="C57" s="63"/>
      <c r="D57" s="63"/>
      <c r="E57" s="63"/>
      <c r="F57" s="63"/>
      <c r="G57" s="54"/>
      <c r="H57" s="20"/>
      <c r="I57" s="1"/>
    </row>
    <row r="58" spans="1:9" x14ac:dyDescent="0.25">
      <c r="A58" s="1"/>
      <c r="B58" s="1"/>
      <c r="C58" s="1"/>
      <c r="D58" s="1"/>
      <c r="E58" s="1"/>
      <c r="F58" s="1"/>
      <c r="G58" s="52"/>
      <c r="H58" s="1"/>
      <c r="I58" s="1"/>
    </row>
    <row r="59" spans="1:9" x14ac:dyDescent="0.25">
      <c r="A59" s="1"/>
      <c r="B59" s="115" t="s">
        <v>132</v>
      </c>
      <c r="C59" s="116"/>
      <c r="D59" s="116"/>
      <c r="E59" s="116"/>
      <c r="F59" s="116"/>
      <c r="G59" s="116"/>
      <c r="H59" s="117"/>
      <c r="I59" s="1"/>
    </row>
    <row r="60" spans="1:9" x14ac:dyDescent="0.25">
      <c r="A60" s="1"/>
      <c r="B60" s="118" t="s">
        <v>133</v>
      </c>
      <c r="C60" s="119"/>
      <c r="D60" s="119"/>
      <c r="E60" s="119"/>
      <c r="F60" s="120"/>
      <c r="G60" s="53">
        <f>(G54+G55-G56)*(1+'Fane 13. Nøgletal'!C16)</f>
        <v>246126804.86254585</v>
      </c>
      <c r="H60" s="14" t="s">
        <v>3</v>
      </c>
      <c r="I60" s="1"/>
    </row>
    <row r="61" spans="1:9" x14ac:dyDescent="0.25">
      <c r="A61" s="1"/>
      <c r="B61" s="118" t="s">
        <v>134</v>
      </c>
      <c r="C61" s="119"/>
      <c r="D61" s="119"/>
      <c r="E61" s="119"/>
      <c r="F61" s="120"/>
      <c r="G61" s="53">
        <f>(G60)*'Fane 13. Nøgletal'!C33</f>
        <v>4922536.097250917</v>
      </c>
      <c r="H61" s="14" t="s">
        <v>3</v>
      </c>
      <c r="I61" s="1"/>
    </row>
    <row r="62" spans="1:9" x14ac:dyDescent="0.25">
      <c r="A62" s="1"/>
      <c r="B62" s="62"/>
      <c r="C62" s="63"/>
      <c r="D62" s="63"/>
      <c r="E62" s="63"/>
      <c r="F62" s="63"/>
      <c r="G62" s="54"/>
      <c r="H62" s="20"/>
      <c r="I62" s="1"/>
    </row>
    <row r="63" spans="1:9" x14ac:dyDescent="0.25">
      <c r="A63" s="1"/>
      <c r="B63" s="1"/>
      <c r="C63" s="1"/>
      <c r="D63" s="1"/>
      <c r="E63" s="1"/>
      <c r="F63" s="1"/>
      <c r="G63" s="52"/>
      <c r="H63" s="1"/>
      <c r="I63" s="1"/>
    </row>
    <row r="64" spans="1:9" x14ac:dyDescent="0.25">
      <c r="A64" s="1"/>
      <c r="B64" s="115" t="s">
        <v>151</v>
      </c>
      <c r="C64" s="116"/>
      <c r="D64" s="116"/>
      <c r="E64" s="116"/>
      <c r="F64" s="116"/>
      <c r="G64" s="116"/>
      <c r="H64" s="117"/>
      <c r="I64" s="1"/>
    </row>
    <row r="65" spans="1:9" x14ac:dyDescent="0.25">
      <c r="A65" s="1"/>
      <c r="B65" s="118" t="s">
        <v>152</v>
      </c>
      <c r="C65" s="119"/>
      <c r="D65" s="119"/>
      <c r="E65" s="119"/>
      <c r="F65" s="120"/>
      <c r="G65" s="53">
        <f>(G60-G61)*(1+'Fane 13. Nøgletal'!C16)</f>
        <v>260693573.68153077</v>
      </c>
      <c r="H65" s="14" t="s">
        <v>3</v>
      </c>
      <c r="I65" s="1"/>
    </row>
    <row r="66" spans="1:9" x14ac:dyDescent="0.25">
      <c r="A66" s="1"/>
      <c r="B66" s="118" t="s">
        <v>153</v>
      </c>
      <c r="C66" s="119"/>
      <c r="D66" s="119"/>
      <c r="E66" s="119"/>
      <c r="F66" s="120"/>
      <c r="G66" s="53">
        <f>(G65)*'Fane 13. Nøgletal'!C33</f>
        <v>5213871.4736306155</v>
      </c>
      <c r="H66" s="14" t="s">
        <v>3</v>
      </c>
      <c r="I66" s="1"/>
    </row>
    <row r="67" spans="1:9" x14ac:dyDescent="0.25">
      <c r="A67" s="1"/>
      <c r="B67" s="62"/>
      <c r="C67" s="63"/>
      <c r="D67" s="63"/>
      <c r="E67" s="63"/>
      <c r="F67" s="63"/>
      <c r="G67" s="54"/>
      <c r="H67" s="20"/>
      <c r="I67" s="1"/>
    </row>
    <row r="68" spans="1:9" x14ac:dyDescent="0.25">
      <c r="A68" s="1"/>
      <c r="B68" s="1"/>
      <c r="C68" s="1"/>
      <c r="D68" s="1"/>
      <c r="E68" s="1"/>
      <c r="F68" s="1"/>
      <c r="G68" s="52"/>
      <c r="H68" s="1"/>
      <c r="I68" s="1"/>
    </row>
    <row r="69" spans="1:9" x14ac:dyDescent="0.25">
      <c r="A69" s="1"/>
      <c r="B69" s="115" t="s">
        <v>212</v>
      </c>
      <c r="C69" s="116"/>
      <c r="D69" s="116"/>
      <c r="E69" s="116"/>
      <c r="F69" s="116"/>
      <c r="G69" s="116"/>
      <c r="H69" s="117"/>
      <c r="I69" s="1"/>
    </row>
    <row r="70" spans="1:9" x14ac:dyDescent="0.25">
      <c r="A70" s="1"/>
      <c r="B70" s="118" t="s">
        <v>213</v>
      </c>
      <c r="C70" s="119"/>
      <c r="D70" s="119"/>
      <c r="E70" s="119"/>
      <c r="F70" s="120"/>
      <c r="G70" s="53">
        <f>(G65-G66)*(1+'Fane 13. Nøgletal'!C16)</f>
        <v>276122462.14629847</v>
      </c>
      <c r="H70" s="14" t="s">
        <v>3</v>
      </c>
      <c r="I70" s="1"/>
    </row>
    <row r="71" spans="1:9" x14ac:dyDescent="0.25">
      <c r="A71" s="1"/>
      <c r="B71" s="118" t="s">
        <v>214</v>
      </c>
      <c r="C71" s="119"/>
      <c r="D71" s="119"/>
      <c r="E71" s="119"/>
      <c r="F71" s="120"/>
      <c r="G71" s="53">
        <f>(G70)*'Fane 13. Nøgletal'!C33</f>
        <v>5522449.2429259699</v>
      </c>
      <c r="H71" s="14" t="s">
        <v>3</v>
      </c>
      <c r="I71" s="1"/>
    </row>
    <row r="72" spans="1:9" x14ac:dyDescent="0.25">
      <c r="A72" s="1"/>
      <c r="B72" s="62"/>
      <c r="C72" s="63"/>
      <c r="D72" s="63"/>
      <c r="E72" s="63"/>
      <c r="F72" s="63"/>
      <c r="G72" s="54"/>
      <c r="H72" s="20"/>
      <c r="I72" s="1"/>
    </row>
    <row r="73" spans="1:9" x14ac:dyDescent="0.25">
      <c r="A73" s="1"/>
      <c r="B73" s="1"/>
      <c r="C73" s="1"/>
      <c r="D73" s="1"/>
      <c r="E73" s="1"/>
      <c r="F73" s="1"/>
      <c r="G73" s="52"/>
      <c r="H73" s="1"/>
      <c r="I73" s="1"/>
    </row>
    <row r="74" spans="1:9" x14ac:dyDescent="0.25">
      <c r="A74" s="1"/>
      <c r="B74" s="1"/>
      <c r="C74" s="1"/>
      <c r="D74" s="1"/>
      <c r="E74" s="1"/>
      <c r="F74" s="1"/>
      <c r="G74" s="52"/>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svQjtmkYTvYO3grSclAptty48rIkUd7x5nriM4/0IBwS8DWeH4J7FbVdUxv4HA6eXPFXi40hoI3FZuJBDf6QVA==" saltValue="CLRyuPHfyDcS7twEP63PgA==" spinCount="100000" sheet="1" objects="1" scenarios="1"/>
  <mergeCells count="43">
    <mergeCell ref="B64:H64"/>
    <mergeCell ref="B65:F65"/>
    <mergeCell ref="B66:F66"/>
    <mergeCell ref="B2:H4"/>
    <mergeCell ref="B5:H5"/>
    <mergeCell ref="B6:F6"/>
    <mergeCell ref="B7:F7"/>
    <mergeCell ref="B11:F11"/>
    <mergeCell ref="B10:H10"/>
    <mergeCell ref="B16:H16"/>
    <mergeCell ref="B23:H23"/>
    <mergeCell ref="B12:F12"/>
    <mergeCell ref="B13:F13"/>
    <mergeCell ref="B17:F17"/>
    <mergeCell ref="B19:F19"/>
    <mergeCell ref="B18:F18"/>
    <mergeCell ref="B20:F20"/>
    <mergeCell ref="B24:F24"/>
    <mergeCell ref="B25:F25"/>
    <mergeCell ref="B26:F26"/>
    <mergeCell ref="B37:F37"/>
    <mergeCell ref="B32:F32"/>
    <mergeCell ref="B33:F33"/>
    <mergeCell ref="B31:F31"/>
    <mergeCell ref="B29:H29"/>
    <mergeCell ref="B30:F30"/>
    <mergeCell ref="B36:H36"/>
    <mergeCell ref="B69:H69"/>
    <mergeCell ref="B70:F70"/>
    <mergeCell ref="B71:F71"/>
    <mergeCell ref="B38:F38"/>
    <mergeCell ref="B39:F39"/>
    <mergeCell ref="B61:F61"/>
    <mergeCell ref="B60:F60"/>
    <mergeCell ref="B59:H59"/>
    <mergeCell ref="B53:H53"/>
    <mergeCell ref="B54:F54"/>
    <mergeCell ref="B56:F56"/>
    <mergeCell ref="B44:H44"/>
    <mergeCell ref="B45:F45"/>
    <mergeCell ref="B47:F47"/>
    <mergeCell ref="B40:F40"/>
    <mergeCell ref="B41:F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99"/>
  <sheetViews>
    <sheetView showGridLines="0" view="pageLayout" zoomScaleNormal="100" workbookViewId="0"/>
  </sheetViews>
  <sheetFormatPr defaultColWidth="9.140625" defaultRowHeight="15" x14ac:dyDescent="0.25"/>
  <cols>
    <col min="1" max="1" width="4.85546875" style="2" customWidth="1"/>
    <col min="2" max="5" width="9.140625" style="2"/>
    <col min="6" max="6" width="20.140625" style="2" customWidth="1"/>
    <col min="7" max="7" width="16.85546875" style="55" customWidth="1"/>
    <col min="8" max="8" width="3.28515625" style="2" customWidth="1"/>
    <col min="9" max="9" width="4.85546875" style="2" customWidth="1"/>
    <col min="10" max="16384" width="9.140625" style="2"/>
  </cols>
  <sheetData>
    <row r="1" spans="1:9" ht="14.25" customHeight="1" x14ac:dyDescent="0.25">
      <c r="A1" s="1"/>
      <c r="B1" s="30"/>
      <c r="C1" s="30"/>
      <c r="D1" s="30"/>
      <c r="E1" s="30"/>
      <c r="F1" s="30"/>
      <c r="G1" s="56"/>
      <c r="H1" s="30"/>
      <c r="I1" s="1"/>
    </row>
    <row r="2" spans="1:9" ht="21" customHeight="1" x14ac:dyDescent="0.25">
      <c r="A2" s="1"/>
      <c r="B2" s="113" t="s">
        <v>91</v>
      </c>
      <c r="C2" s="113"/>
      <c r="D2" s="113"/>
      <c r="E2" s="113"/>
      <c r="F2" s="113"/>
      <c r="G2" s="113"/>
      <c r="H2" s="113"/>
      <c r="I2" s="1"/>
    </row>
    <row r="3" spans="1:9" ht="18" customHeight="1" x14ac:dyDescent="0.25">
      <c r="A3" s="1"/>
      <c r="B3" s="113"/>
      <c r="C3" s="113"/>
      <c r="D3" s="113"/>
      <c r="E3" s="113"/>
      <c r="F3" s="113"/>
      <c r="G3" s="113"/>
      <c r="H3" s="113"/>
      <c r="I3" s="1"/>
    </row>
    <row r="4" spans="1:9" ht="14.25" customHeight="1" x14ac:dyDescent="0.25">
      <c r="A4" s="1"/>
      <c r="B4" s="31"/>
      <c r="C4" s="31"/>
      <c r="D4" s="31"/>
      <c r="E4" s="31"/>
      <c r="F4" s="31"/>
      <c r="G4" s="57"/>
      <c r="H4" s="31"/>
      <c r="I4" s="1"/>
    </row>
    <row r="5" spans="1:9" x14ac:dyDescent="0.25">
      <c r="A5" s="1"/>
      <c r="B5" s="115" t="s">
        <v>49</v>
      </c>
      <c r="C5" s="116"/>
      <c r="D5" s="116"/>
      <c r="E5" s="116"/>
      <c r="F5" s="116"/>
      <c r="G5" s="116"/>
      <c r="H5" s="117"/>
      <c r="I5" s="1"/>
    </row>
    <row r="6" spans="1:9" x14ac:dyDescent="0.25">
      <c r="A6" s="1"/>
      <c r="B6" s="118" t="s">
        <v>54</v>
      </c>
      <c r="C6" s="119"/>
      <c r="D6" s="119"/>
      <c r="E6" s="119"/>
      <c r="F6" s="120"/>
      <c r="G6" s="67">
        <v>115134297.26136479</v>
      </c>
      <c r="H6" s="14" t="s">
        <v>3</v>
      </c>
      <c r="I6" s="1"/>
    </row>
    <row r="7" spans="1:9" x14ac:dyDescent="0.25">
      <c r="A7" s="1"/>
      <c r="B7" s="118" t="s">
        <v>50</v>
      </c>
      <c r="C7" s="119"/>
      <c r="D7" s="119"/>
      <c r="E7" s="119"/>
      <c r="F7" s="120"/>
      <c r="G7" s="53">
        <f>G6*'Fane 13. Nøgletal'!C21</f>
        <v>1047722.1050784197</v>
      </c>
      <c r="H7" s="14" t="s">
        <v>3</v>
      </c>
      <c r="I7" s="1"/>
    </row>
    <row r="8" spans="1:9" x14ac:dyDescent="0.25">
      <c r="A8" s="1"/>
      <c r="B8" s="62"/>
      <c r="C8" s="63"/>
      <c r="D8" s="63"/>
      <c r="E8" s="63"/>
      <c r="F8" s="63"/>
      <c r="G8" s="54"/>
      <c r="H8" s="20"/>
      <c r="I8" s="1"/>
    </row>
    <row r="9" spans="1:9" x14ac:dyDescent="0.25">
      <c r="A9" s="1"/>
      <c r="B9" s="1"/>
      <c r="C9" s="1"/>
      <c r="D9" s="1"/>
      <c r="E9" s="1"/>
      <c r="F9" s="1"/>
      <c r="G9" s="52"/>
      <c r="H9" s="1"/>
      <c r="I9" s="1"/>
    </row>
    <row r="10" spans="1:9" x14ac:dyDescent="0.25">
      <c r="A10" s="1"/>
      <c r="B10" s="115" t="s">
        <v>55</v>
      </c>
      <c r="C10" s="116"/>
      <c r="D10" s="116"/>
      <c r="E10" s="116"/>
      <c r="F10" s="116"/>
      <c r="G10" s="116"/>
      <c r="H10" s="117"/>
      <c r="I10" s="1"/>
    </row>
    <row r="11" spans="1:9" x14ac:dyDescent="0.25">
      <c r="A11" s="1"/>
      <c r="B11" s="118" t="s">
        <v>56</v>
      </c>
      <c r="C11" s="119"/>
      <c r="D11" s="119"/>
      <c r="E11" s="119"/>
      <c r="F11" s="120"/>
      <c r="G11" s="53">
        <f>(G6-G7)*(1+'Fane 13. Nøgletal'!C9)</f>
        <v>115535474.66077121</v>
      </c>
      <c r="H11" s="14" t="s">
        <v>3</v>
      </c>
      <c r="I11" s="1"/>
    </row>
    <row r="12" spans="1:9" x14ac:dyDescent="0.25">
      <c r="A12" s="1"/>
      <c r="B12" s="124" t="s">
        <v>238</v>
      </c>
      <c r="C12" s="125"/>
      <c r="D12" s="125"/>
      <c r="E12" s="125"/>
      <c r="F12" s="126"/>
      <c r="G12" s="67">
        <v>0</v>
      </c>
      <c r="H12" s="14" t="s">
        <v>3</v>
      </c>
      <c r="I12" s="1"/>
    </row>
    <row r="13" spans="1:9" x14ac:dyDescent="0.25">
      <c r="A13" s="1"/>
      <c r="B13" s="118" t="s">
        <v>57</v>
      </c>
      <c r="C13" s="119"/>
      <c r="D13" s="119"/>
      <c r="E13" s="119"/>
      <c r="F13" s="120"/>
      <c r="G13" s="53">
        <f>G11*'Fane 13. Nøgletal'!C21+G12*'Fane 13. Nøgletal'!C22</f>
        <v>1051372.8194130179</v>
      </c>
      <c r="H13" s="14" t="s">
        <v>3</v>
      </c>
      <c r="I13" s="1"/>
    </row>
    <row r="14" spans="1:9" x14ac:dyDescent="0.25">
      <c r="A14" s="1"/>
      <c r="B14" s="62"/>
      <c r="C14" s="63"/>
      <c r="D14" s="63"/>
      <c r="E14" s="63"/>
      <c r="F14" s="63"/>
      <c r="G14" s="54"/>
      <c r="H14" s="20"/>
      <c r="I14" s="1"/>
    </row>
    <row r="15" spans="1:9" x14ac:dyDescent="0.25">
      <c r="A15" s="1"/>
      <c r="B15" s="1"/>
      <c r="C15" s="1"/>
      <c r="D15" s="1"/>
      <c r="E15" s="1"/>
      <c r="F15" s="1"/>
      <c r="G15" s="52"/>
      <c r="H15" s="1"/>
      <c r="I15" s="1"/>
    </row>
    <row r="16" spans="1:9" x14ac:dyDescent="0.25">
      <c r="A16" s="1"/>
      <c r="B16" s="115" t="s">
        <v>58</v>
      </c>
      <c r="C16" s="116"/>
      <c r="D16" s="116"/>
      <c r="E16" s="116"/>
      <c r="F16" s="116"/>
      <c r="G16" s="116"/>
      <c r="H16" s="117"/>
      <c r="I16" s="1"/>
    </row>
    <row r="17" spans="1:9" x14ac:dyDescent="0.25">
      <c r="A17" s="1"/>
      <c r="B17" s="118" t="s">
        <v>59</v>
      </c>
      <c r="C17" s="119"/>
      <c r="D17" s="119"/>
      <c r="E17" s="119"/>
      <c r="F17" s="120"/>
      <c r="G17" s="53">
        <f>(G11+G12-G13)*(1+'Fane 13. Nøgletal'!C11)</f>
        <v>116418883.16247714</v>
      </c>
      <c r="H17" s="14" t="s">
        <v>3</v>
      </c>
      <c r="I17" s="1"/>
    </row>
    <row r="18" spans="1:9" x14ac:dyDescent="0.25">
      <c r="A18" s="1"/>
      <c r="B18" s="118" t="s">
        <v>109</v>
      </c>
      <c r="C18" s="119"/>
      <c r="D18" s="119"/>
      <c r="E18" s="119"/>
      <c r="F18" s="120"/>
      <c r="G18" s="67">
        <v>-1909238.9844120771</v>
      </c>
      <c r="H18" s="14" t="s">
        <v>3</v>
      </c>
      <c r="I18" s="1"/>
    </row>
    <row r="19" spans="1:9" x14ac:dyDescent="0.25">
      <c r="A19" s="1"/>
      <c r="B19" s="124" t="s">
        <v>239</v>
      </c>
      <c r="C19" s="125"/>
      <c r="D19" s="125"/>
      <c r="E19" s="125"/>
      <c r="F19" s="126"/>
      <c r="G19" s="67">
        <v>4222627.577384009</v>
      </c>
      <c r="H19" s="14" t="s">
        <v>3</v>
      </c>
      <c r="I19" s="1"/>
    </row>
    <row r="20" spans="1:9" x14ac:dyDescent="0.25">
      <c r="A20" s="1"/>
      <c r="B20" s="118" t="s">
        <v>60</v>
      </c>
      <c r="C20" s="119"/>
      <c r="D20" s="119"/>
      <c r="E20" s="119"/>
      <c r="F20" s="120"/>
      <c r="G20" s="53">
        <f>SUM(G17:G19)*'Fane 13. Nøgletal'!C23</f>
        <v>1032970.7642724068</v>
      </c>
      <c r="H20" s="14" t="s">
        <v>3</v>
      </c>
      <c r="I20" s="1"/>
    </row>
    <row r="21" spans="1:9" x14ac:dyDescent="0.25">
      <c r="A21" s="1"/>
      <c r="B21" s="62"/>
      <c r="C21" s="63"/>
      <c r="D21" s="63"/>
      <c r="E21" s="63"/>
      <c r="F21" s="63"/>
      <c r="G21" s="54"/>
      <c r="H21" s="20"/>
      <c r="I21" s="1"/>
    </row>
    <row r="22" spans="1:9" x14ac:dyDescent="0.25">
      <c r="A22" s="1"/>
      <c r="B22" s="1"/>
      <c r="C22" s="1"/>
      <c r="D22" s="1"/>
      <c r="E22" s="1"/>
      <c r="F22" s="1"/>
      <c r="G22" s="52"/>
      <c r="H22" s="1"/>
      <c r="I22" s="1"/>
    </row>
    <row r="23" spans="1:9" x14ac:dyDescent="0.25">
      <c r="A23" s="1"/>
      <c r="B23" s="115" t="s">
        <v>61</v>
      </c>
      <c r="C23" s="116"/>
      <c r="D23" s="116"/>
      <c r="E23" s="116"/>
      <c r="F23" s="116"/>
      <c r="G23" s="116"/>
      <c r="H23" s="117"/>
      <c r="I23" s="1"/>
    </row>
    <row r="24" spans="1:9" x14ac:dyDescent="0.25">
      <c r="A24" s="1"/>
      <c r="B24" s="118" t="s">
        <v>62</v>
      </c>
      <c r="C24" s="119"/>
      <c r="D24" s="119"/>
      <c r="E24" s="119"/>
      <c r="F24" s="120"/>
      <c r="G24" s="53">
        <f>(G17+G18+G19-G20)*(1+'Fane 13. Nøgletal'!C11)</f>
        <v>119688419.17792754</v>
      </c>
      <c r="H24" s="14" t="s">
        <v>3</v>
      </c>
      <c r="I24" s="1"/>
    </row>
    <row r="25" spans="1:9" x14ac:dyDescent="0.25">
      <c r="A25" s="1"/>
      <c r="B25" s="124" t="s">
        <v>240</v>
      </c>
      <c r="C25" s="125"/>
      <c r="D25" s="125"/>
      <c r="E25" s="125"/>
      <c r="F25" s="126"/>
      <c r="G25" s="67">
        <v>1943910.5568089131</v>
      </c>
      <c r="H25" s="14" t="s">
        <v>3</v>
      </c>
      <c r="I25" s="1"/>
    </row>
    <row r="26" spans="1:9" x14ac:dyDescent="0.25">
      <c r="A26" s="1"/>
      <c r="B26" s="118" t="s">
        <v>63</v>
      </c>
      <c r="C26" s="119"/>
      <c r="D26" s="119"/>
      <c r="E26" s="119"/>
      <c r="F26" s="120"/>
      <c r="G26" s="53">
        <f>G24*'Fane 13. Nøgletal'!C23+G25*'Fane 13. Nøgletal'!C24</f>
        <v>1096496.3066613425</v>
      </c>
      <c r="H26" s="14" t="s">
        <v>3</v>
      </c>
      <c r="I26" s="1"/>
    </row>
    <row r="27" spans="1:9" x14ac:dyDescent="0.25">
      <c r="A27" s="1"/>
      <c r="B27" s="62"/>
      <c r="C27" s="63"/>
      <c r="D27" s="63"/>
      <c r="E27" s="63"/>
      <c r="F27" s="63"/>
      <c r="G27" s="54"/>
      <c r="H27" s="20"/>
      <c r="I27" s="1"/>
    </row>
    <row r="28" spans="1:9" x14ac:dyDescent="0.25">
      <c r="A28" s="1"/>
      <c r="B28" s="1"/>
      <c r="C28" s="1"/>
      <c r="D28" s="1"/>
      <c r="E28" s="1"/>
      <c r="F28" s="1"/>
      <c r="G28" s="52"/>
      <c r="H28" s="1"/>
      <c r="I28" s="1"/>
    </row>
    <row r="29" spans="1:9" x14ac:dyDescent="0.25">
      <c r="A29" s="1"/>
      <c r="B29" s="115" t="s">
        <v>64</v>
      </c>
      <c r="C29" s="116"/>
      <c r="D29" s="116"/>
      <c r="E29" s="116"/>
      <c r="F29" s="116"/>
      <c r="G29" s="116"/>
      <c r="H29" s="117"/>
      <c r="I29" s="1"/>
    </row>
    <row r="30" spans="1:9" x14ac:dyDescent="0.25">
      <c r="A30" s="1"/>
      <c r="B30" s="118" t="s">
        <v>65</v>
      </c>
      <c r="C30" s="119"/>
      <c r="D30" s="119"/>
      <c r="E30" s="119"/>
      <c r="F30" s="120"/>
      <c r="G30" s="53">
        <f>G24*(1-'Fane 13. Nøgletal'!C23)*(1+'Fane 13. Nøgletal'!C11)+G25*(1-'Fane 13. Nøgletal'!C24)*(1+'Fane 13. Nøgletal'!C12)</f>
        <v>122578177.38280115</v>
      </c>
      <c r="H30" s="14" t="s">
        <v>3</v>
      </c>
      <c r="I30" s="1"/>
    </row>
    <row r="31" spans="1:9" x14ac:dyDescent="0.25">
      <c r="A31" s="1"/>
      <c r="B31" s="121" t="s">
        <v>106</v>
      </c>
      <c r="C31" s="122"/>
      <c r="D31" s="122"/>
      <c r="E31" s="122"/>
      <c r="F31" s="123"/>
      <c r="G31" s="53">
        <f>G25*(1-'Fane 13. Nøgletal'!C24)*(1+'Fane 13. Nøgletal'!C12)</f>
        <v>1925910.9558863523</v>
      </c>
      <c r="H31" s="14" t="s">
        <v>3</v>
      </c>
      <c r="I31" s="1"/>
    </row>
    <row r="32" spans="1:9" x14ac:dyDescent="0.25">
      <c r="A32" s="1"/>
      <c r="B32" s="118" t="s">
        <v>241</v>
      </c>
      <c r="C32" s="119"/>
      <c r="D32" s="119"/>
      <c r="E32" s="119"/>
      <c r="F32" s="120"/>
      <c r="G32" s="67">
        <v>1106242.2663062399</v>
      </c>
      <c r="H32" s="14" t="s">
        <v>3</v>
      </c>
      <c r="I32" s="1"/>
    </row>
    <row r="33" spans="1:9" x14ac:dyDescent="0.25">
      <c r="A33" s="1"/>
      <c r="B33" s="118" t="s">
        <v>66</v>
      </c>
      <c r="C33" s="119"/>
      <c r="D33" s="119"/>
      <c r="E33" s="119"/>
      <c r="F33" s="120"/>
      <c r="G33" s="53">
        <f>(G30-G31)*'Fane 13. Nøgletal'!C23+G31*'Fane 13. Nøgletal'!C24+G32*'Fane 13. Nøgletal'!C25</f>
        <v>1134792.2513847526</v>
      </c>
      <c r="H33" s="14" t="s">
        <v>3</v>
      </c>
      <c r="I33" s="1"/>
    </row>
    <row r="34" spans="1:9" x14ac:dyDescent="0.25">
      <c r="A34" s="1"/>
      <c r="B34" s="62"/>
      <c r="C34" s="63"/>
      <c r="D34" s="63"/>
      <c r="E34" s="63"/>
      <c r="F34" s="63"/>
      <c r="G34" s="54"/>
      <c r="H34" s="20"/>
      <c r="I34" s="1"/>
    </row>
    <row r="35" spans="1:9" x14ac:dyDescent="0.25">
      <c r="A35" s="1"/>
      <c r="B35" s="1"/>
      <c r="C35" s="1"/>
      <c r="D35" s="1"/>
      <c r="E35" s="1"/>
      <c r="F35" s="1"/>
      <c r="G35" s="52"/>
      <c r="H35" s="1"/>
      <c r="I35" s="1"/>
    </row>
    <row r="36" spans="1:9" x14ac:dyDescent="0.25">
      <c r="A36" s="1"/>
      <c r="B36" s="115" t="s">
        <v>88</v>
      </c>
      <c r="C36" s="116"/>
      <c r="D36" s="116"/>
      <c r="E36" s="116"/>
      <c r="F36" s="116"/>
      <c r="G36" s="116"/>
      <c r="H36" s="117"/>
      <c r="I36" s="1"/>
    </row>
    <row r="37" spans="1:9" x14ac:dyDescent="0.25">
      <c r="A37" s="1"/>
      <c r="B37" s="118" t="s">
        <v>69</v>
      </c>
      <c r="C37" s="119"/>
      <c r="D37" s="119"/>
      <c r="E37" s="119"/>
      <c r="F37" s="120"/>
      <c r="G37" s="53">
        <f>(G30-G31)*(1-'Fane 13. Nøgletal'!C23)*(1+'Fane 13. Nøgletal'!C11)+G31*(1-'Fane 13. Nøgletal'!C24)*(1+'Fane 13. Nøgletal'!C12)+G32*(1-'Fane 13. Nøgletal'!C25)*(1+'Fane 13. Nøgletal'!C13)</f>
        <v>124620899.14614268</v>
      </c>
      <c r="H37" s="14" t="s">
        <v>3</v>
      </c>
      <c r="I37" s="1"/>
    </row>
    <row r="38" spans="1:9" x14ac:dyDescent="0.25">
      <c r="A38" s="1"/>
      <c r="B38" s="121" t="s">
        <v>106</v>
      </c>
      <c r="C38" s="122"/>
      <c r="D38" s="122"/>
      <c r="E38" s="122"/>
      <c r="F38" s="123"/>
      <c r="G38" s="53">
        <f>G31*(1-'Fane 13. Nøgletal'!C24)*(1+'Fane 13. Nøgletal'!C12)</f>
        <v>1908078.0219085419</v>
      </c>
      <c r="H38" s="14" t="s">
        <v>3</v>
      </c>
      <c r="I38" s="1"/>
    </row>
    <row r="39" spans="1:9" x14ac:dyDescent="0.25">
      <c r="A39" s="1"/>
      <c r="B39" s="121" t="s">
        <v>123</v>
      </c>
      <c r="C39" s="122"/>
      <c r="D39" s="122"/>
      <c r="E39" s="122"/>
      <c r="F39" s="123"/>
      <c r="G39" s="67">
        <v>1088945.6153514087</v>
      </c>
      <c r="H39" s="14" t="s">
        <v>3</v>
      </c>
      <c r="I39" s="1"/>
    </row>
    <row r="40" spans="1:9" x14ac:dyDescent="0.25">
      <c r="A40" s="1"/>
      <c r="B40" s="118" t="s">
        <v>242</v>
      </c>
      <c r="C40" s="119"/>
      <c r="D40" s="119"/>
      <c r="E40" s="119"/>
      <c r="F40" s="120"/>
      <c r="G40" s="67">
        <v>878374.70227934013</v>
      </c>
      <c r="H40" s="14" t="s">
        <v>3</v>
      </c>
      <c r="I40" s="1"/>
    </row>
    <row r="41" spans="1:9" x14ac:dyDescent="0.25">
      <c r="A41" s="1"/>
      <c r="B41" s="118" t="s">
        <v>127</v>
      </c>
      <c r="C41" s="119"/>
      <c r="D41" s="119"/>
      <c r="E41" s="119"/>
      <c r="F41" s="120"/>
      <c r="G41" s="53">
        <f>(G37-SUM(G38:G39))*'Fane 13. Nøgletal'!C23+G38*'Fane 13. Nøgletal'!C24+(G39)*'Fane 13. Nøgletal'!C25+(G40)*'Fane 13. Nøgletal'!C26</f>
        <v>1155263.0827653804</v>
      </c>
      <c r="H41" s="14" t="s">
        <v>3</v>
      </c>
      <c r="I41" s="1"/>
    </row>
    <row r="42" spans="1:9" x14ac:dyDescent="0.25">
      <c r="A42" s="1"/>
      <c r="B42" s="62"/>
      <c r="C42" s="63"/>
      <c r="D42" s="63"/>
      <c r="E42" s="63"/>
      <c r="F42" s="63"/>
      <c r="G42" s="54"/>
      <c r="H42" s="20"/>
      <c r="I42" s="1"/>
    </row>
    <row r="43" spans="1:9" x14ac:dyDescent="0.25">
      <c r="A43" s="1"/>
      <c r="B43" s="1"/>
      <c r="C43" s="1"/>
      <c r="D43" s="1"/>
      <c r="E43" s="1"/>
      <c r="F43" s="1"/>
      <c r="G43" s="52"/>
      <c r="H43" s="1"/>
      <c r="I43" s="1"/>
    </row>
    <row r="44" spans="1:9" x14ac:dyDescent="0.25">
      <c r="A44" s="1"/>
      <c r="B44" s="115" t="s">
        <v>167</v>
      </c>
      <c r="C44" s="116"/>
      <c r="D44" s="116"/>
      <c r="E44" s="116"/>
      <c r="F44" s="116"/>
      <c r="G44" s="116"/>
      <c r="H44" s="117"/>
      <c r="I44" s="1"/>
    </row>
    <row r="45" spans="1:9" x14ac:dyDescent="0.25">
      <c r="A45" s="1"/>
      <c r="B45" s="118" t="s">
        <v>68</v>
      </c>
      <c r="C45" s="119"/>
      <c r="D45" s="119"/>
      <c r="E45" s="119"/>
      <c r="F45" s="120"/>
      <c r="G45" s="53">
        <f>(G37+G40-G41)*(1+'Fane 13. Nøgletal'!C15)</f>
        <v>128770657.54891402</v>
      </c>
      <c r="H45" s="14" t="s">
        <v>3</v>
      </c>
      <c r="I45" s="1"/>
    </row>
    <row r="46" spans="1:9" x14ac:dyDescent="0.25">
      <c r="A46" s="1"/>
      <c r="B46" s="78" t="s">
        <v>174</v>
      </c>
      <c r="C46" s="79"/>
      <c r="D46" s="79"/>
      <c r="E46" s="79"/>
      <c r="F46" s="80"/>
      <c r="G46" s="58">
        <v>6728927.2610126408</v>
      </c>
      <c r="H46" s="14" t="s">
        <v>3</v>
      </c>
      <c r="I46" s="1"/>
    </row>
    <row r="47" spans="1:9" x14ac:dyDescent="0.25">
      <c r="A47" s="1"/>
      <c r="B47" s="118" t="s">
        <v>67</v>
      </c>
      <c r="C47" s="119"/>
      <c r="D47" s="119"/>
      <c r="E47" s="119"/>
      <c r="F47" s="120"/>
      <c r="G47" s="67">
        <f>(G45+G46)*'Fane 13. Nøgletal'!C27</f>
        <v>0</v>
      </c>
      <c r="H47" s="14" t="s">
        <v>3</v>
      </c>
      <c r="I47" s="1"/>
    </row>
    <row r="48" spans="1:9" x14ac:dyDescent="0.25">
      <c r="A48" s="1"/>
      <c r="B48" s="62"/>
      <c r="C48" s="63"/>
      <c r="D48" s="63"/>
      <c r="E48" s="63"/>
      <c r="F48" s="63"/>
      <c r="G48" s="54"/>
      <c r="H48" s="20"/>
      <c r="I48" s="1"/>
    </row>
    <row r="49" spans="1:9" x14ac:dyDescent="0.25">
      <c r="A49" s="1"/>
      <c r="B49" s="1"/>
      <c r="C49" s="1"/>
      <c r="D49" s="1"/>
      <c r="E49" s="1"/>
      <c r="F49" s="1"/>
      <c r="G49" s="52"/>
      <c r="H49" s="1"/>
      <c r="I49" s="1"/>
    </row>
    <row r="50" spans="1:9" x14ac:dyDescent="0.25">
      <c r="A50" s="1"/>
      <c r="B50" s="1"/>
      <c r="C50" s="1"/>
      <c r="D50" s="1"/>
      <c r="E50" s="1"/>
      <c r="F50" s="1"/>
      <c r="G50" s="52"/>
      <c r="H50" s="1"/>
      <c r="I50" s="1"/>
    </row>
    <row r="51" spans="1:9" x14ac:dyDescent="0.25">
      <c r="A51" s="1"/>
      <c r="B51" s="115" t="s">
        <v>168</v>
      </c>
      <c r="C51" s="116"/>
      <c r="D51" s="116"/>
      <c r="E51" s="116"/>
      <c r="F51" s="116"/>
      <c r="G51" s="116"/>
      <c r="H51" s="117"/>
      <c r="I51" s="1"/>
    </row>
    <row r="52" spans="1:9" x14ac:dyDescent="0.25">
      <c r="A52" s="1"/>
      <c r="B52" s="118" t="s">
        <v>124</v>
      </c>
      <c r="C52" s="119"/>
      <c r="D52" s="119"/>
      <c r="E52" s="119"/>
      <c r="F52" s="120"/>
      <c r="G52" s="53">
        <f>(G45+G46-G47)*(1+'Fane 13. Nøgletal'!C15)</f>
        <v>140323370.02916005</v>
      </c>
      <c r="H52" s="14" t="s">
        <v>3</v>
      </c>
      <c r="I52" s="1"/>
    </row>
    <row r="53" spans="1:9" x14ac:dyDescent="0.25">
      <c r="A53" s="1"/>
      <c r="B53" s="78" t="s">
        <v>230</v>
      </c>
      <c r="C53" s="79"/>
      <c r="D53" s="79"/>
      <c r="E53" s="79"/>
      <c r="F53" s="80"/>
      <c r="G53" s="67">
        <v>0</v>
      </c>
      <c r="H53" s="14" t="s">
        <v>3</v>
      </c>
      <c r="I53" s="1"/>
    </row>
    <row r="54" spans="1:9" x14ac:dyDescent="0.25">
      <c r="A54" s="1"/>
      <c r="B54" s="118" t="s">
        <v>125</v>
      </c>
      <c r="C54" s="119"/>
      <c r="D54" s="119"/>
      <c r="E54" s="119"/>
      <c r="F54" s="120"/>
      <c r="G54" s="67">
        <f>(G52)*'Fane 13. Nøgletal'!C27+G53*'Fane 13. Nøgletal'!C28</f>
        <v>0</v>
      </c>
      <c r="H54" s="14" t="s">
        <v>3</v>
      </c>
      <c r="I54" s="1"/>
    </row>
    <row r="55" spans="1:9" x14ac:dyDescent="0.25">
      <c r="A55" s="1"/>
      <c r="B55" s="62"/>
      <c r="C55" s="63"/>
      <c r="D55" s="63"/>
      <c r="E55" s="63"/>
      <c r="F55" s="63"/>
      <c r="G55" s="54"/>
      <c r="H55" s="20"/>
      <c r="I55" s="1"/>
    </row>
    <row r="56" spans="1:9" x14ac:dyDescent="0.25">
      <c r="A56" s="1"/>
      <c r="B56" s="1"/>
      <c r="C56" s="1"/>
      <c r="D56" s="1"/>
      <c r="E56" s="1"/>
      <c r="F56" s="1"/>
      <c r="G56" s="52"/>
      <c r="H56" s="1"/>
      <c r="I56" s="1"/>
    </row>
    <row r="57" spans="1:9" x14ac:dyDescent="0.25">
      <c r="A57" s="1"/>
      <c r="B57" s="115" t="s">
        <v>135</v>
      </c>
      <c r="C57" s="116"/>
      <c r="D57" s="116"/>
      <c r="E57" s="116"/>
      <c r="F57" s="116"/>
      <c r="G57" s="116"/>
      <c r="H57" s="117"/>
      <c r="I57" s="1"/>
    </row>
    <row r="58" spans="1:9" x14ac:dyDescent="0.25">
      <c r="A58" s="1"/>
      <c r="B58" s="118" t="s">
        <v>136</v>
      </c>
      <c r="C58" s="119"/>
      <c r="D58" s="119"/>
      <c r="E58" s="119"/>
      <c r="F58" s="120"/>
      <c r="G58" s="53">
        <f>(G52+G53-G54)*(1+'Fane 13. Nøgletal'!C16)</f>
        <v>151661498.32751617</v>
      </c>
      <c r="H58" s="14" t="s">
        <v>3</v>
      </c>
      <c r="I58" s="1"/>
    </row>
    <row r="59" spans="1:9" x14ac:dyDescent="0.25">
      <c r="A59" s="1"/>
      <c r="B59" s="118" t="s">
        <v>137</v>
      </c>
      <c r="C59" s="119"/>
      <c r="D59" s="119"/>
      <c r="E59" s="119"/>
      <c r="F59" s="120"/>
      <c r="G59" s="67">
        <f>(G58)*'Fane 13. Nøgletal'!C28</f>
        <v>0</v>
      </c>
      <c r="H59" s="14" t="s">
        <v>3</v>
      </c>
      <c r="I59" s="1"/>
    </row>
    <row r="60" spans="1:9" x14ac:dyDescent="0.25">
      <c r="A60" s="1"/>
      <c r="B60" s="62"/>
      <c r="C60" s="63"/>
      <c r="D60" s="63"/>
      <c r="E60" s="63"/>
      <c r="F60" s="63"/>
      <c r="G60" s="54"/>
      <c r="H60" s="20"/>
      <c r="I60" s="1"/>
    </row>
    <row r="61" spans="1:9" x14ac:dyDescent="0.25">
      <c r="A61" s="1"/>
      <c r="B61" s="1"/>
      <c r="C61" s="1"/>
      <c r="D61" s="1"/>
      <c r="E61" s="1"/>
      <c r="F61" s="1"/>
      <c r="G61" s="52"/>
      <c r="H61" s="1"/>
      <c r="I61" s="1"/>
    </row>
    <row r="62" spans="1:9" x14ac:dyDescent="0.25">
      <c r="A62" s="1"/>
      <c r="B62" s="115" t="s">
        <v>154</v>
      </c>
      <c r="C62" s="116"/>
      <c r="D62" s="116"/>
      <c r="E62" s="116"/>
      <c r="F62" s="116"/>
      <c r="G62" s="116"/>
      <c r="H62" s="117"/>
      <c r="I62" s="1"/>
    </row>
    <row r="63" spans="1:9" x14ac:dyDescent="0.25">
      <c r="A63" s="1"/>
      <c r="B63" s="118" t="s">
        <v>155</v>
      </c>
      <c r="C63" s="119"/>
      <c r="D63" s="119"/>
      <c r="E63" s="119"/>
      <c r="F63" s="120"/>
      <c r="G63" s="53">
        <f>(G58-G59)*(1+'Fane 13. Nøgletal'!C16)</f>
        <v>163915747.39237946</v>
      </c>
      <c r="H63" s="14" t="s">
        <v>3</v>
      </c>
      <c r="I63" s="1"/>
    </row>
    <row r="64" spans="1:9" x14ac:dyDescent="0.25">
      <c r="A64" s="1"/>
      <c r="B64" s="118" t="s">
        <v>156</v>
      </c>
      <c r="C64" s="119"/>
      <c r="D64" s="119"/>
      <c r="E64" s="119"/>
      <c r="F64" s="120"/>
      <c r="G64" s="67">
        <f>(G63)*'Fane 13. Nøgletal'!C28</f>
        <v>0</v>
      </c>
      <c r="H64" s="14" t="s">
        <v>3</v>
      </c>
      <c r="I64" s="1"/>
    </row>
    <row r="65" spans="1:9" x14ac:dyDescent="0.25">
      <c r="A65" s="1"/>
      <c r="B65" s="62"/>
      <c r="C65" s="63"/>
      <c r="D65" s="63"/>
      <c r="E65" s="63"/>
      <c r="F65" s="63"/>
      <c r="G65" s="54"/>
      <c r="H65" s="20"/>
      <c r="I65" s="1"/>
    </row>
    <row r="66" spans="1:9" x14ac:dyDescent="0.25">
      <c r="A66" s="1"/>
      <c r="B66" s="1"/>
      <c r="C66" s="1"/>
      <c r="D66" s="1"/>
      <c r="E66" s="1"/>
      <c r="F66" s="1"/>
      <c r="G66" s="52"/>
      <c r="H66" s="1"/>
      <c r="I66" s="1"/>
    </row>
    <row r="67" spans="1:9" x14ac:dyDescent="0.25">
      <c r="A67" s="1"/>
      <c r="B67" s="115" t="s">
        <v>215</v>
      </c>
      <c r="C67" s="116"/>
      <c r="D67" s="116"/>
      <c r="E67" s="116"/>
      <c r="F67" s="116"/>
      <c r="G67" s="116"/>
      <c r="H67" s="117"/>
      <c r="I67" s="1"/>
    </row>
    <row r="68" spans="1:9" x14ac:dyDescent="0.25">
      <c r="A68" s="1"/>
      <c r="B68" s="118" t="s">
        <v>216</v>
      </c>
      <c r="C68" s="119"/>
      <c r="D68" s="119"/>
      <c r="E68" s="119"/>
      <c r="F68" s="120"/>
      <c r="G68" s="53">
        <f>(G63-G64)*(1+'Fane 13. Nøgletal'!C16)</f>
        <v>177160139.78168371</v>
      </c>
      <c r="H68" s="14" t="s">
        <v>3</v>
      </c>
      <c r="I68" s="1"/>
    </row>
    <row r="69" spans="1:9" x14ac:dyDescent="0.25">
      <c r="A69" s="1"/>
      <c r="B69" s="118" t="s">
        <v>217</v>
      </c>
      <c r="C69" s="119"/>
      <c r="D69" s="119"/>
      <c r="E69" s="119"/>
      <c r="F69" s="120"/>
      <c r="G69" s="67">
        <f>(G68)*'Fane 13. Nøgletal'!C28</f>
        <v>0</v>
      </c>
      <c r="H69" s="14" t="s">
        <v>3</v>
      </c>
      <c r="I69" s="1"/>
    </row>
    <row r="70" spans="1:9" x14ac:dyDescent="0.25">
      <c r="A70" s="1"/>
      <c r="B70" s="62"/>
      <c r="C70" s="63"/>
      <c r="D70" s="63"/>
      <c r="E70" s="63"/>
      <c r="F70" s="63"/>
      <c r="G70" s="54"/>
      <c r="H70" s="20"/>
      <c r="I70" s="1"/>
    </row>
    <row r="71" spans="1:9" x14ac:dyDescent="0.25">
      <c r="A71" s="1"/>
      <c r="B71" s="1"/>
      <c r="C71" s="1"/>
      <c r="D71" s="1"/>
      <c r="E71" s="1"/>
      <c r="F71" s="1"/>
      <c r="G71" s="52"/>
      <c r="H71" s="1"/>
      <c r="I71" s="1"/>
    </row>
    <row r="72" spans="1:9" x14ac:dyDescent="0.25">
      <c r="A72" s="1"/>
      <c r="B72" s="1"/>
      <c r="C72" s="1"/>
      <c r="D72" s="1"/>
      <c r="E72" s="1"/>
      <c r="F72" s="1"/>
      <c r="G72" s="52"/>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sheetData>
  <sheetProtection algorithmName="SHA-512" hashValue="wrbcURHFc9kb068/fkupkklbXSmFnNGiRQAe6rJzmv9fHtHfSFmypOvPR0/QqFZVreINh5r2htod7wJRKvmmRQ==" saltValue="C8jF/peF6+5uNpdRyv5/mg==" spinCount="100000" sheet="1" objects="1" scenarios="1"/>
  <mergeCells count="43">
    <mergeCell ref="B2:H3"/>
    <mergeCell ref="B32:F32"/>
    <mergeCell ref="B23:H23"/>
    <mergeCell ref="B40:F40"/>
    <mergeCell ref="B52:F52"/>
    <mergeCell ref="B31:F31"/>
    <mergeCell ref="B39:F39"/>
    <mergeCell ref="B37:F37"/>
    <mergeCell ref="B51:H51"/>
    <mergeCell ref="B47:F47"/>
    <mergeCell ref="B20:F20"/>
    <mergeCell ref="B5:H5"/>
    <mergeCell ref="B6:F6"/>
    <mergeCell ref="B7:F7"/>
    <mergeCell ref="B10:H10"/>
    <mergeCell ref="B11:F11"/>
    <mergeCell ref="B12:F12"/>
    <mergeCell ref="B13:F13"/>
    <mergeCell ref="B16:H16"/>
    <mergeCell ref="B17:F17"/>
    <mergeCell ref="B18:F18"/>
    <mergeCell ref="B24:F24"/>
    <mergeCell ref="B19:F19"/>
    <mergeCell ref="B57:H57"/>
    <mergeCell ref="B54:F54"/>
    <mergeCell ref="B25:F25"/>
    <mergeCell ref="B26:F26"/>
    <mergeCell ref="B41:F41"/>
    <mergeCell ref="B44:H44"/>
    <mergeCell ref="B45:F45"/>
    <mergeCell ref="B29:H29"/>
    <mergeCell ref="B30:F30"/>
    <mergeCell ref="B33:F33"/>
    <mergeCell ref="B36:H36"/>
    <mergeCell ref="B38:F38"/>
    <mergeCell ref="B67:H67"/>
    <mergeCell ref="B68:F68"/>
    <mergeCell ref="B69:F69"/>
    <mergeCell ref="B59:F59"/>
    <mergeCell ref="B58:F58"/>
    <mergeCell ref="B62:H62"/>
    <mergeCell ref="B63:F63"/>
    <mergeCell ref="B64:F6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1" t="s">
        <v>79</v>
      </c>
      <c r="C3" s="111"/>
      <c r="D3" s="111"/>
      <c r="E3" s="111"/>
      <c r="F3" s="111"/>
      <c r="G3" s="111"/>
      <c r="H3" s="1"/>
    </row>
    <row r="4" spans="1:8" ht="15" customHeight="1" x14ac:dyDescent="0.25">
      <c r="A4" s="1"/>
      <c r="B4" s="111"/>
      <c r="C4" s="111"/>
      <c r="D4" s="111"/>
      <c r="E4" s="111"/>
      <c r="F4" s="111"/>
      <c r="G4" s="11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5" t="s">
        <v>9</v>
      </c>
      <c r="C8" s="116"/>
      <c r="D8" s="116"/>
      <c r="E8" s="116"/>
      <c r="F8" s="116"/>
      <c r="G8" s="117"/>
      <c r="H8" s="1"/>
    </row>
    <row r="9" spans="1:8" x14ac:dyDescent="0.25">
      <c r="A9" s="1"/>
      <c r="B9" s="78" t="s">
        <v>243</v>
      </c>
      <c r="C9" s="79"/>
      <c r="D9" s="79"/>
      <c r="E9" s="79"/>
      <c r="F9" s="80"/>
      <c r="G9" s="59">
        <v>0</v>
      </c>
      <c r="H9" s="1"/>
    </row>
    <row r="10" spans="1:8" x14ac:dyDescent="0.25">
      <c r="A10" s="1"/>
      <c r="B10" s="62"/>
      <c r="C10" s="63"/>
      <c r="D10" s="63"/>
      <c r="E10" s="63"/>
      <c r="F10" s="63"/>
      <c r="G10" s="20"/>
      <c r="H10" s="1"/>
    </row>
    <row r="11" spans="1:8" x14ac:dyDescent="0.25">
      <c r="A11" s="1"/>
      <c r="B11" s="127" t="s">
        <v>246</v>
      </c>
      <c r="C11" s="128"/>
      <c r="D11" s="128"/>
      <c r="E11" s="128"/>
      <c r="F11" s="128"/>
      <c r="G11" s="129"/>
      <c r="H11" s="1"/>
    </row>
    <row r="12" spans="1:8" ht="15" customHeight="1" x14ac:dyDescent="0.25">
      <c r="A12" s="18"/>
      <c r="B12" s="130"/>
      <c r="C12" s="131"/>
      <c r="D12" s="131"/>
      <c r="E12" s="131"/>
      <c r="F12" s="131"/>
      <c r="G12" s="132"/>
      <c r="H12" s="18"/>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T+Y1zccTf2K4y2x745V2b6FqpAvZOkdr7jz5qaufGwNSU80wPyfXa+4CQGrzmAztfdEwyK83MzDi6SLNePbkkg==" saltValue="CqgI/yFD0Q8NJpvEOKFzdA==" spinCount="100000" sheet="1" objects="1" scenarios="1"/>
  <mergeCells count="3">
    <mergeCell ref="B3:G4"/>
    <mergeCell ref="B8:G8"/>
    <mergeCell ref="B11:G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4"/>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1" t="s">
        <v>92</v>
      </c>
      <c r="C3" s="111"/>
      <c r="D3" s="111"/>
      <c r="E3" s="1"/>
      <c r="F3" s="1"/>
    </row>
    <row r="4" spans="1:6" ht="15" customHeight="1" x14ac:dyDescent="0.25">
      <c r="A4" s="1"/>
      <c r="B4" s="111"/>
      <c r="C4" s="111"/>
      <c r="D4" s="11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5" t="s">
        <v>219</v>
      </c>
      <c r="C8" s="116"/>
      <c r="D8" s="117"/>
      <c r="E8" s="1"/>
      <c r="F8" s="1"/>
    </row>
    <row r="9" spans="1:6" ht="15" customHeight="1" x14ac:dyDescent="0.25">
      <c r="A9" s="1"/>
      <c r="B9" s="34" t="s">
        <v>28</v>
      </c>
      <c r="C9" s="11" t="s">
        <v>218</v>
      </c>
      <c r="D9" s="11"/>
      <c r="E9" s="1"/>
      <c r="F9" s="1"/>
    </row>
    <row r="10" spans="1:6" x14ac:dyDescent="0.25">
      <c r="A10" s="1"/>
      <c r="B10" s="81" t="s">
        <v>253</v>
      </c>
      <c r="C10" s="9">
        <v>193741610</v>
      </c>
      <c r="D10" s="14" t="s">
        <v>3</v>
      </c>
      <c r="E10" s="1"/>
      <c r="F10" s="1"/>
    </row>
    <row r="11" spans="1:6" x14ac:dyDescent="0.25">
      <c r="A11" s="1"/>
      <c r="B11" s="81" t="s">
        <v>254</v>
      </c>
      <c r="C11" s="9">
        <v>1439707</v>
      </c>
      <c r="D11" s="14" t="s">
        <v>3</v>
      </c>
      <c r="E11" s="1"/>
      <c r="F11" s="1"/>
    </row>
    <row r="12" spans="1:6" ht="26.25" x14ac:dyDescent="0.25">
      <c r="A12" s="1"/>
      <c r="B12" s="33" t="s">
        <v>255</v>
      </c>
      <c r="C12" s="9">
        <v>3685432</v>
      </c>
      <c r="D12" s="14" t="s">
        <v>3</v>
      </c>
      <c r="E12" s="1"/>
      <c r="F12" s="1"/>
    </row>
    <row r="13" spans="1:6" x14ac:dyDescent="0.25">
      <c r="A13" s="1"/>
      <c r="B13" s="81" t="s">
        <v>256</v>
      </c>
      <c r="C13" s="9">
        <v>2068644</v>
      </c>
      <c r="D13" s="14" t="s">
        <v>3</v>
      </c>
      <c r="E13" s="1"/>
      <c r="F13" s="1"/>
    </row>
    <row r="14" spans="1:6" x14ac:dyDescent="0.25">
      <c r="A14" s="1"/>
      <c r="B14" s="81" t="s">
        <v>257</v>
      </c>
      <c r="C14" s="9">
        <v>23392012</v>
      </c>
      <c r="D14" s="14" t="s">
        <v>3</v>
      </c>
      <c r="E14" s="1"/>
      <c r="F14" s="1"/>
    </row>
    <row r="15" spans="1:6" x14ac:dyDescent="0.25">
      <c r="A15" s="1"/>
      <c r="B15" s="81"/>
      <c r="C15" s="9"/>
      <c r="D15" s="14" t="s">
        <v>3</v>
      </c>
      <c r="E15" s="1"/>
      <c r="F15" s="1"/>
    </row>
    <row r="16" spans="1:6" x14ac:dyDescent="0.25">
      <c r="A16" s="1"/>
      <c r="B16" s="81"/>
      <c r="C16" s="9"/>
      <c r="D16" s="14" t="s">
        <v>3</v>
      </c>
      <c r="E16" s="1"/>
      <c r="F16" s="1"/>
    </row>
    <row r="17" spans="1:6" x14ac:dyDescent="0.25">
      <c r="A17" s="1"/>
      <c r="B17" s="81"/>
      <c r="C17" s="9"/>
      <c r="D17" s="14" t="s">
        <v>3</v>
      </c>
      <c r="E17" s="1"/>
      <c r="F17" s="1"/>
    </row>
    <row r="18" spans="1:6" x14ac:dyDescent="0.25">
      <c r="A18" s="1"/>
      <c r="B18" s="62" t="s">
        <v>220</v>
      </c>
      <c r="C18" s="12">
        <f>SUM(C10:C17)</f>
        <v>224327405</v>
      </c>
      <c r="D18" s="13" t="s">
        <v>3</v>
      </c>
      <c r="E18" s="1"/>
      <c r="F18" s="1"/>
    </row>
    <row r="19" spans="1:6" x14ac:dyDescent="0.25">
      <c r="A19" s="1"/>
      <c r="B19" s="62" t="s">
        <v>221</v>
      </c>
      <c r="C19" s="12">
        <f>C18*(1+'Fane 13. Nøgletal'!C16)^2</f>
        <v>262043266.51737919</v>
      </c>
      <c r="D19" s="13" t="s">
        <v>3</v>
      </c>
      <c r="E19" s="1"/>
      <c r="F19" s="1"/>
    </row>
    <row r="20" spans="1:6" x14ac:dyDescent="0.25">
      <c r="A20" s="1"/>
      <c r="B20" s="16"/>
      <c r="C20" s="15"/>
      <c r="D20" s="15"/>
      <c r="E20" s="1"/>
      <c r="F20" s="1"/>
    </row>
    <row r="21" spans="1:6" x14ac:dyDescent="0.25">
      <c r="A21" s="1"/>
      <c r="B21" s="16"/>
      <c r="C21" s="15"/>
      <c r="D21" s="15"/>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37"/>
      <c r="B50" s="37"/>
      <c r="C50" s="37"/>
      <c r="D50" s="37"/>
      <c r="E50" s="37"/>
      <c r="F50" s="37"/>
    </row>
    <row r="51" spans="1:6" x14ac:dyDescent="0.25">
      <c r="A51" s="37"/>
      <c r="B51" s="37"/>
      <c r="C51" s="37"/>
      <c r="D51" s="37"/>
      <c r="E51" s="37"/>
      <c r="F51" s="37"/>
    </row>
    <row r="52" spans="1:6" x14ac:dyDescent="0.25">
      <c r="A52" s="37"/>
      <c r="B52" s="37"/>
      <c r="C52" s="37"/>
      <c r="D52" s="37"/>
      <c r="E52" s="37"/>
      <c r="F52" s="37"/>
    </row>
    <row r="53" spans="1:6" x14ac:dyDescent="0.25">
      <c r="A53" s="37"/>
      <c r="B53" s="37"/>
      <c r="C53" s="37"/>
      <c r="D53" s="37"/>
      <c r="E53" s="37"/>
      <c r="F53" s="37"/>
    </row>
    <row r="54" spans="1:6" x14ac:dyDescent="0.25">
      <c r="A54" s="37"/>
      <c r="B54" s="37"/>
      <c r="C54" s="37"/>
      <c r="D54" s="37"/>
      <c r="E54" s="37"/>
      <c r="F54" s="37"/>
    </row>
  </sheetData>
  <sheetProtection algorithmName="SHA-512" hashValue="tjx9E7pQ7ZdsYxGlYEWpEkJNmKcuM156SNnL35WL2pGnMAnhWW1NDrfbqkHlBe8AabKPzkJ6EceZfR/fhwkKhQ==" saltValue="tjkWWxg/uT3PXQIzNAxQMA==" spinCount="100000" sheet="1" objects="1" scenarios="1"/>
  <mergeCells count="2">
    <mergeCell ref="B3:D4"/>
    <mergeCell ref="B8:D8"/>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5194-34AE-4009-9042-F47A52C5D52F}">
  <dimension ref="A1:G53"/>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3" t="s">
        <v>222</v>
      </c>
      <c r="C3" s="113"/>
      <c r="D3" s="113"/>
      <c r="E3" s="113"/>
      <c r="F3" s="113"/>
      <c r="G3" s="1"/>
    </row>
    <row r="4" spans="1:7" ht="15" customHeight="1" x14ac:dyDescent="0.25">
      <c r="A4" s="1"/>
      <c r="B4" s="113"/>
      <c r="C4" s="113"/>
      <c r="D4" s="113"/>
      <c r="E4" s="113"/>
      <c r="F4" s="113"/>
      <c r="G4" s="1"/>
    </row>
    <row r="5" spans="1:7" ht="15" customHeight="1" x14ac:dyDescent="0.25">
      <c r="A5" s="1"/>
      <c r="B5" s="74"/>
      <c r="C5" s="74"/>
      <c r="D5" s="74"/>
      <c r="E5" s="74"/>
      <c r="F5" s="74"/>
      <c r="G5" s="1"/>
    </row>
    <row r="6" spans="1:7" ht="15" customHeight="1" x14ac:dyDescent="0.25">
      <c r="A6" s="1"/>
      <c r="B6" s="1"/>
      <c r="C6" s="68"/>
      <c r="D6" s="69"/>
      <c r="E6" s="74"/>
      <c r="F6" s="74"/>
      <c r="G6" s="1"/>
    </row>
    <row r="7" spans="1:7" x14ac:dyDescent="0.25">
      <c r="A7" s="1"/>
      <c r="B7" s="1"/>
      <c r="C7" s="1"/>
      <c r="D7" s="1"/>
      <c r="E7" s="70"/>
      <c r="F7" s="1"/>
      <c r="G7" s="1"/>
    </row>
    <row r="8" spans="1:7" x14ac:dyDescent="0.25">
      <c r="A8" s="1"/>
      <c r="B8" s="115" t="s">
        <v>142</v>
      </c>
      <c r="C8" s="116"/>
      <c r="D8" s="116"/>
      <c r="E8" s="116"/>
      <c r="F8" s="117"/>
      <c r="G8" s="1"/>
    </row>
    <row r="9" spans="1:7" x14ac:dyDescent="0.25">
      <c r="A9" s="1"/>
      <c r="B9" s="118" t="s">
        <v>143</v>
      </c>
      <c r="C9" s="119"/>
      <c r="D9" s="120"/>
      <c r="E9" s="73">
        <v>-1955738</v>
      </c>
      <c r="F9" s="14" t="s">
        <v>3</v>
      </c>
      <c r="G9" s="1"/>
    </row>
    <row r="10" spans="1:7" x14ac:dyDescent="0.25">
      <c r="A10" s="1"/>
      <c r="B10" s="118" t="s">
        <v>157</v>
      </c>
      <c r="C10" s="119"/>
      <c r="D10" s="120"/>
      <c r="E10" s="73">
        <v>-28196758</v>
      </c>
      <c r="F10" s="14" t="s">
        <v>3</v>
      </c>
      <c r="G10" s="1"/>
    </row>
    <row r="11" spans="1:7" x14ac:dyDescent="0.25">
      <c r="A11" s="1"/>
      <c r="B11" s="118" t="s">
        <v>266</v>
      </c>
      <c r="C11" s="119"/>
      <c r="D11" s="120"/>
      <c r="E11" s="73">
        <v>-35779815</v>
      </c>
      <c r="F11" s="14" t="s">
        <v>3</v>
      </c>
      <c r="G11" s="1"/>
    </row>
    <row r="12" spans="1:7" x14ac:dyDescent="0.25">
      <c r="A12" s="1"/>
      <c r="B12" s="62"/>
      <c r="C12" s="63"/>
      <c r="D12" s="63"/>
      <c r="E12" s="63"/>
      <c r="F12" s="20"/>
      <c r="G12" s="1"/>
    </row>
    <row r="13" spans="1:7" ht="51.75" customHeight="1" x14ac:dyDescent="0.25">
      <c r="A13" s="1"/>
      <c r="B13" s="136" t="s">
        <v>267</v>
      </c>
      <c r="C13" s="137"/>
      <c r="D13" s="137"/>
      <c r="E13" s="137"/>
      <c r="F13" s="138"/>
      <c r="G13" s="1"/>
    </row>
    <row r="14" spans="1:7" x14ac:dyDescent="0.25">
      <c r="A14" s="1"/>
      <c r="B14" s="1"/>
      <c r="C14" s="1"/>
      <c r="D14" s="1"/>
      <c r="E14" s="1"/>
      <c r="F14" s="1"/>
      <c r="G14" s="1"/>
    </row>
    <row r="15" spans="1:7" x14ac:dyDescent="0.25">
      <c r="A15" s="1"/>
      <c r="B15" s="115" t="s">
        <v>144</v>
      </c>
      <c r="C15" s="116"/>
      <c r="D15" s="116"/>
      <c r="E15" s="116"/>
      <c r="F15" s="117"/>
      <c r="G15" s="1"/>
    </row>
    <row r="16" spans="1:7" x14ac:dyDescent="0.25">
      <c r="A16" s="1"/>
      <c r="B16" s="118" t="s">
        <v>145</v>
      </c>
      <c r="C16" s="119"/>
      <c r="D16" s="120"/>
      <c r="E16" s="9">
        <v>-48678375</v>
      </c>
      <c r="F16" s="14" t="s">
        <v>3</v>
      </c>
      <c r="G16" s="1"/>
    </row>
    <row r="17" spans="1:7" x14ac:dyDescent="0.25">
      <c r="A17" s="1"/>
      <c r="B17" s="118" t="s">
        <v>146</v>
      </c>
      <c r="C17" s="119"/>
      <c r="D17" s="120"/>
      <c r="E17" s="9">
        <v>-48678375</v>
      </c>
      <c r="F17" s="14" t="s">
        <v>3</v>
      </c>
      <c r="G17" s="1"/>
    </row>
    <row r="18" spans="1:7" x14ac:dyDescent="0.25">
      <c r="A18" s="1"/>
      <c r="B18" s="62"/>
      <c r="C18" s="63"/>
      <c r="D18" s="63"/>
      <c r="E18" s="63"/>
      <c r="F18" s="20"/>
      <c r="G18" s="1"/>
    </row>
    <row r="19" spans="1:7" ht="30.75" customHeight="1" x14ac:dyDescent="0.25">
      <c r="A19" s="1"/>
      <c r="B19" s="136" t="s">
        <v>268</v>
      </c>
      <c r="C19" s="137"/>
      <c r="D19" s="137"/>
      <c r="E19" s="137"/>
      <c r="F19" s="138"/>
      <c r="G19" s="1"/>
    </row>
    <row r="20" spans="1:7" x14ac:dyDescent="0.25">
      <c r="A20" s="1"/>
      <c r="B20" s="1"/>
      <c r="C20" s="1"/>
      <c r="D20" s="1"/>
      <c r="E20" s="1"/>
      <c r="F20" s="1"/>
      <c r="G20" s="1"/>
    </row>
    <row r="21" spans="1:7" x14ac:dyDescent="0.25">
      <c r="A21" s="1"/>
      <c r="B21" s="75" t="s">
        <v>269</v>
      </c>
      <c r="C21" s="76"/>
      <c r="D21" s="76"/>
      <c r="E21" s="76"/>
      <c r="F21" s="77"/>
      <c r="G21" s="1"/>
    </row>
    <row r="22" spans="1:7" x14ac:dyDescent="0.25">
      <c r="A22" s="1"/>
      <c r="B22" s="78" t="s">
        <v>270</v>
      </c>
      <c r="C22" s="79"/>
      <c r="D22" s="80"/>
      <c r="E22" s="9">
        <v>511118761</v>
      </c>
      <c r="F22" s="14" t="s">
        <v>3</v>
      </c>
      <c r="G22" s="1"/>
    </row>
    <row r="23" spans="1:7" x14ac:dyDescent="0.25">
      <c r="A23" s="1"/>
      <c r="B23" s="78" t="s">
        <v>271</v>
      </c>
      <c r="C23" s="79"/>
      <c r="D23" s="80"/>
      <c r="E23" s="9">
        <v>534984038</v>
      </c>
      <c r="F23" s="14" t="s">
        <v>3</v>
      </c>
      <c r="G23" s="1"/>
    </row>
    <row r="24" spans="1:7" x14ac:dyDescent="0.25">
      <c r="A24" s="1"/>
      <c r="B24" s="78" t="s">
        <v>29</v>
      </c>
      <c r="C24" s="79"/>
      <c r="D24" s="80"/>
      <c r="E24" s="9">
        <v>0</v>
      </c>
      <c r="F24" s="14" t="s">
        <v>3</v>
      </c>
      <c r="G24" s="1"/>
    </row>
    <row r="25" spans="1:7" x14ac:dyDescent="0.25">
      <c r="A25" s="1"/>
      <c r="B25" s="83" t="s">
        <v>272</v>
      </c>
      <c r="C25" s="84"/>
      <c r="D25" s="85"/>
      <c r="E25" s="10">
        <f>E22-(E23-E24)</f>
        <v>-23865277</v>
      </c>
      <c r="F25" s="17" t="s">
        <v>3</v>
      </c>
      <c r="G25" s="1"/>
    </row>
    <row r="26" spans="1:7" x14ac:dyDescent="0.25">
      <c r="A26" s="1"/>
      <c r="B26" s="62"/>
      <c r="C26" s="63"/>
      <c r="D26" s="63"/>
      <c r="E26" s="63"/>
      <c r="F26" s="20"/>
      <c r="G26" s="1"/>
    </row>
    <row r="27" spans="1:7" x14ac:dyDescent="0.25">
      <c r="A27" s="1"/>
      <c r="B27" s="1"/>
      <c r="C27" s="1"/>
      <c r="D27" s="1"/>
      <c r="E27" s="1"/>
      <c r="F27" s="1"/>
      <c r="G27" s="1"/>
    </row>
    <row r="28" spans="1:7" x14ac:dyDescent="0.25">
      <c r="A28" s="1"/>
      <c r="B28" s="115" t="s">
        <v>273</v>
      </c>
      <c r="C28" s="116"/>
      <c r="D28" s="116"/>
      <c r="E28" s="116"/>
      <c r="F28" s="117"/>
      <c r="G28" s="1"/>
    </row>
    <row r="29" spans="1:7" x14ac:dyDescent="0.25">
      <c r="A29" s="1"/>
      <c r="B29" s="139" t="s">
        <v>274</v>
      </c>
      <c r="C29" s="140"/>
      <c r="D29" s="141"/>
      <c r="E29" s="71">
        <f>IF(AND(E17&lt;0,E25&gt;0,ABS(SUM(E16:E17))&lt;E25),ABS(E16),IF(AND(E17&lt;0,E25&gt;0,ABS(SUM(E16:E17))&gt;E25),SUM(E16,E25),E17))</f>
        <v>-48678375</v>
      </c>
      <c r="F29" s="17" t="s">
        <v>3</v>
      </c>
      <c r="G29" s="1"/>
    </row>
    <row r="30" spans="1:7" x14ac:dyDescent="0.25">
      <c r="A30" s="1"/>
      <c r="B30" s="115"/>
      <c r="C30" s="116"/>
      <c r="D30" s="116"/>
      <c r="E30" s="116"/>
      <c r="F30" s="117"/>
      <c r="G30" s="1"/>
    </row>
    <row r="31" spans="1:7" x14ac:dyDescent="0.25">
      <c r="A31" s="1"/>
      <c r="B31" s="1"/>
      <c r="C31" s="1"/>
      <c r="D31" s="1"/>
      <c r="E31" s="1"/>
      <c r="F31" s="1"/>
      <c r="G31" s="1"/>
    </row>
    <row r="32" spans="1:7" x14ac:dyDescent="0.25">
      <c r="A32" s="1"/>
      <c r="B32" s="115" t="s">
        <v>275</v>
      </c>
      <c r="C32" s="116"/>
      <c r="D32" s="116"/>
      <c r="E32" s="116"/>
      <c r="F32" s="117"/>
      <c r="G32" s="1"/>
    </row>
    <row r="33" spans="1:7" x14ac:dyDescent="0.25">
      <c r="A33" s="1"/>
      <c r="B33" s="121" t="s">
        <v>128</v>
      </c>
      <c r="C33" s="122"/>
      <c r="D33" s="123"/>
      <c r="E33" s="72">
        <f>IF(AND(E11&gt;0,(SUM(E11)+E25)&gt;0),0,IF(AND(E11&gt;0,(SUM(E9:E11)+E25)&lt;0),(SUM(E9:E11)+E25),IF(AND(E11&lt;0,E25&lt;0),E25,0)))</f>
        <v>-23865277</v>
      </c>
      <c r="F33" s="14" t="s">
        <v>3</v>
      </c>
      <c r="G33" s="1"/>
    </row>
    <row r="34" spans="1:7" x14ac:dyDescent="0.25">
      <c r="A34" s="1"/>
      <c r="B34" s="121" t="s">
        <v>87</v>
      </c>
      <c r="C34" s="122"/>
      <c r="D34" s="123"/>
      <c r="E34" s="9">
        <v>2</v>
      </c>
      <c r="F34" s="14" t="s">
        <v>18</v>
      </c>
      <c r="G34" s="1"/>
    </row>
    <row r="35" spans="1:7" x14ac:dyDescent="0.25">
      <c r="A35" s="1"/>
      <c r="B35" s="142" t="s">
        <v>147</v>
      </c>
      <c r="C35" s="142"/>
      <c r="D35" s="142"/>
      <c r="E35" s="71">
        <f>E33/E34</f>
        <v>-11932638.5</v>
      </c>
      <c r="F35" s="17" t="s">
        <v>3</v>
      </c>
      <c r="G35" s="1"/>
    </row>
    <row r="36" spans="1:7" x14ac:dyDescent="0.25">
      <c r="A36" s="1"/>
      <c r="B36" s="133"/>
      <c r="C36" s="134"/>
      <c r="D36" s="134"/>
      <c r="E36" s="134"/>
      <c r="F36" s="135"/>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37"/>
      <c r="B47" s="37"/>
      <c r="C47" s="37"/>
      <c r="D47" s="37"/>
      <c r="E47" s="37"/>
      <c r="F47" s="37"/>
      <c r="G47" s="37"/>
    </row>
    <row r="48" spans="1:7" x14ac:dyDescent="0.25">
      <c r="A48" s="37"/>
      <c r="B48" s="37"/>
      <c r="C48" s="37"/>
      <c r="D48" s="37"/>
      <c r="E48" s="37"/>
      <c r="F48" s="37"/>
      <c r="G48" s="37"/>
    </row>
    <row r="49" spans="1:7" x14ac:dyDescent="0.25">
      <c r="A49" s="37"/>
      <c r="B49" s="37"/>
      <c r="C49" s="37"/>
      <c r="D49" s="37"/>
      <c r="E49" s="37"/>
      <c r="F49" s="37"/>
      <c r="G49" s="37"/>
    </row>
    <row r="50" spans="1:7" x14ac:dyDescent="0.25">
      <c r="A50" s="37"/>
      <c r="B50" s="37"/>
      <c r="C50" s="37"/>
      <c r="D50" s="37"/>
      <c r="E50" s="37"/>
      <c r="F50" s="37"/>
      <c r="G50" s="37"/>
    </row>
    <row r="51" spans="1:7" x14ac:dyDescent="0.25">
      <c r="A51" s="37"/>
      <c r="B51" s="37"/>
      <c r="C51" s="37"/>
      <c r="D51" s="37"/>
      <c r="E51" s="37"/>
      <c r="F51" s="37"/>
      <c r="G51" s="37"/>
    </row>
    <row r="52" spans="1:7" x14ac:dyDescent="0.25">
      <c r="A52" s="37"/>
      <c r="B52" s="37"/>
      <c r="C52" s="37"/>
      <c r="D52" s="37"/>
      <c r="E52" s="37"/>
      <c r="F52" s="37"/>
      <c r="G52" s="37"/>
    </row>
    <row r="53" spans="1:7" x14ac:dyDescent="0.25">
      <c r="B53" s="37"/>
      <c r="C53" s="37"/>
      <c r="D53" s="37"/>
      <c r="E53" s="37"/>
      <c r="F53" s="37"/>
    </row>
  </sheetData>
  <sheetProtection algorithmName="SHA-512" hashValue="gr+dEUafaPvtQWIWQlo1Bd27KCrK1nYF2whATf94k/yYwLdP/KDssR/fc0/9Fpm7wFow4jj4GobQiUjKLSSBLg==" saltValue="UF83y9vhx8uOl1Hz7XfkAQ==" spinCount="100000" sheet="1" objects="1" scenarios="1"/>
  <mergeCells count="18">
    <mergeCell ref="B13:F13"/>
    <mergeCell ref="B3:F4"/>
    <mergeCell ref="B8:F8"/>
    <mergeCell ref="B9:D9"/>
    <mergeCell ref="B10:D10"/>
    <mergeCell ref="B11:D11"/>
    <mergeCell ref="B36:F36"/>
    <mergeCell ref="B15:F15"/>
    <mergeCell ref="B16:D16"/>
    <mergeCell ref="B17:D17"/>
    <mergeCell ref="B19:F19"/>
    <mergeCell ref="B28:F28"/>
    <mergeCell ref="B29:D29"/>
    <mergeCell ref="B30:F30"/>
    <mergeCell ref="B32:F32"/>
    <mergeCell ref="B33:D33"/>
    <mergeCell ref="B34:D34"/>
    <mergeCell ref="B35:D35"/>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48" customWidth="1"/>
    <col min="2" max="2" width="22.5703125" style="48" customWidth="1"/>
    <col min="3" max="3" width="8.28515625" style="48" customWidth="1"/>
    <col min="4" max="6" width="10.7109375" style="48" customWidth="1"/>
    <col min="7" max="7" width="11.140625" style="48" customWidth="1"/>
    <col min="8" max="8" width="3.28515625" style="48" customWidth="1"/>
    <col min="9" max="9" width="4.85546875" style="48" customWidth="1"/>
    <col min="10" max="16384" width="9.140625" style="48"/>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1" t="s">
        <v>188</v>
      </c>
      <c r="C3" s="111"/>
      <c r="D3" s="111"/>
      <c r="E3" s="111"/>
      <c r="F3" s="111"/>
      <c r="G3" s="111"/>
      <c r="H3" s="111"/>
      <c r="I3" s="1"/>
    </row>
    <row r="4" spans="1:9" ht="15" customHeight="1" x14ac:dyDescent="0.25">
      <c r="A4" s="1"/>
      <c r="B4" s="111"/>
      <c r="C4" s="111"/>
      <c r="D4" s="111"/>
      <c r="E4" s="111"/>
      <c r="F4" s="111"/>
      <c r="G4" s="111"/>
      <c r="H4" s="11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5" t="s">
        <v>189</v>
      </c>
      <c r="C8" s="116"/>
      <c r="D8" s="116"/>
      <c r="E8" s="116"/>
      <c r="F8" s="116"/>
      <c r="G8" s="116"/>
      <c r="H8" s="117"/>
      <c r="I8" s="1"/>
    </row>
    <row r="9" spans="1:9" ht="15" customHeight="1" x14ac:dyDescent="0.25">
      <c r="A9" s="1"/>
      <c r="B9" s="146" t="s">
        <v>190</v>
      </c>
      <c r="C9" s="147"/>
      <c r="D9" s="147"/>
      <c r="E9" s="147"/>
      <c r="F9" s="147"/>
      <c r="G9" s="147"/>
      <c r="H9" s="148"/>
      <c r="I9" s="1"/>
    </row>
    <row r="10" spans="1:9" x14ac:dyDescent="0.25">
      <c r="A10" s="1"/>
      <c r="B10" s="143" t="s">
        <v>191</v>
      </c>
      <c r="C10" s="144"/>
      <c r="D10" s="144"/>
      <c r="E10" s="144"/>
      <c r="F10" s="145"/>
      <c r="G10" s="50">
        <v>0</v>
      </c>
      <c r="H10" s="9" t="s">
        <v>3</v>
      </c>
      <c r="I10" s="1"/>
    </row>
    <row r="11" spans="1:9" x14ac:dyDescent="0.25">
      <c r="A11" s="1"/>
      <c r="B11" s="143" t="s">
        <v>192</v>
      </c>
      <c r="C11" s="144"/>
      <c r="D11" s="144"/>
      <c r="E11" s="144"/>
      <c r="F11" s="145"/>
      <c r="G11" s="50">
        <v>0</v>
      </c>
      <c r="H11" s="9" t="s">
        <v>3</v>
      </c>
      <c r="I11" s="1"/>
    </row>
    <row r="12" spans="1:9" x14ac:dyDescent="0.25">
      <c r="A12" s="1"/>
      <c r="B12" s="143" t="s">
        <v>193</v>
      </c>
      <c r="C12" s="144"/>
      <c r="D12" s="144"/>
      <c r="E12" s="144"/>
      <c r="F12" s="145"/>
      <c r="G12" s="9">
        <v>0</v>
      </c>
      <c r="H12" s="9" t="s">
        <v>3</v>
      </c>
      <c r="I12" s="1"/>
    </row>
    <row r="13" spans="1:9" x14ac:dyDescent="0.25">
      <c r="A13" s="1"/>
      <c r="B13" s="143" t="s">
        <v>194</v>
      </c>
      <c r="C13" s="144"/>
      <c r="D13" s="144"/>
      <c r="E13" s="144"/>
      <c r="F13" s="145"/>
      <c r="G13" s="9">
        <v>0</v>
      </c>
      <c r="H13" s="9" t="s">
        <v>3</v>
      </c>
      <c r="I13" s="1"/>
    </row>
    <row r="14" spans="1:9" x14ac:dyDescent="0.25">
      <c r="A14" s="1"/>
      <c r="B14" s="143" t="s">
        <v>195</v>
      </c>
      <c r="C14" s="144"/>
      <c r="D14" s="144"/>
      <c r="E14" s="144"/>
      <c r="F14" s="145"/>
      <c r="G14" s="9">
        <v>0</v>
      </c>
      <c r="H14" s="9" t="s">
        <v>3</v>
      </c>
      <c r="I14" s="1"/>
    </row>
    <row r="15" spans="1:9" x14ac:dyDescent="0.25">
      <c r="A15" s="1"/>
      <c r="B15" s="143" t="s">
        <v>196</v>
      </c>
      <c r="C15" s="144"/>
      <c r="D15" s="144"/>
      <c r="E15" s="144"/>
      <c r="F15" s="145"/>
      <c r="G15" s="9">
        <v>0</v>
      </c>
      <c r="H15" s="9" t="s">
        <v>3</v>
      </c>
      <c r="I15" s="1"/>
    </row>
    <row r="16" spans="1:9" x14ac:dyDescent="0.25">
      <c r="A16" s="1"/>
      <c r="B16" s="143" t="s">
        <v>197</v>
      </c>
      <c r="C16" s="144"/>
      <c r="D16" s="144"/>
      <c r="E16" s="144"/>
      <c r="F16" s="145"/>
      <c r="G16" s="9">
        <v>0</v>
      </c>
      <c r="H16" s="9" t="s">
        <v>3</v>
      </c>
      <c r="I16" s="1"/>
    </row>
    <row r="17" spans="1:9" x14ac:dyDescent="0.25">
      <c r="A17" s="1"/>
      <c r="B17" s="143" t="s">
        <v>198</v>
      </c>
      <c r="C17" s="144"/>
      <c r="D17" s="144"/>
      <c r="E17" s="144"/>
      <c r="F17" s="145"/>
      <c r="G17" s="9">
        <v>0</v>
      </c>
      <c r="H17" s="9" t="s">
        <v>3</v>
      </c>
      <c r="I17" s="1"/>
    </row>
    <row r="18" spans="1:9" x14ac:dyDescent="0.25">
      <c r="A18" s="1"/>
      <c r="B18" s="62" t="s">
        <v>199</v>
      </c>
      <c r="C18" s="49"/>
      <c r="D18" s="20"/>
      <c r="E18" s="12"/>
      <c r="F18" s="12"/>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m2b3Y4ChyS9tgQNCZAMLVGzVOIiEkWzsILX7tWWlssgLq+JrPm7JNmpm5DXvaaNMD5E9mK82CzMgbgtY3LgUqg==" saltValue="eeh8TPHx64oIpQPNReInfA==" spinCount="100000" sheet="1" objects="1" scenarios="1"/>
  <mergeCells count="11">
    <mergeCell ref="B12:F12"/>
    <mergeCell ref="B3:H4"/>
    <mergeCell ref="B8:H8"/>
    <mergeCell ref="B9:H9"/>
    <mergeCell ref="B10:F10"/>
    <mergeCell ref="B11:F11"/>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2.42578125" style="2" customWidth="1"/>
    <col min="3" max="3" width="8.28515625" style="2" customWidth="1"/>
    <col min="4" max="4" width="8.42578125" style="2" customWidth="1"/>
    <col min="5" max="5" width="2.5703125" style="2" customWidth="1"/>
    <col min="6" max="6" width="8.42578125" style="2" customWidth="1"/>
    <col min="7" max="7" width="2.5703125" style="2" customWidth="1"/>
    <col min="8" max="8" width="8.42578125" style="2" customWidth="1"/>
    <col min="9" max="9" width="2.5703125" style="2" customWidth="1"/>
    <col min="10" max="10" width="8.42578125" style="2" customWidth="1"/>
    <col min="11" max="11" width="2.5703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1" t="s">
        <v>182</v>
      </c>
      <c r="C3" s="111"/>
      <c r="D3" s="111"/>
      <c r="E3" s="111"/>
      <c r="F3" s="111"/>
      <c r="G3" s="111"/>
      <c r="H3" s="111"/>
      <c r="I3" s="111"/>
      <c r="J3" s="111"/>
      <c r="K3" s="111"/>
      <c r="L3" s="1"/>
    </row>
    <row r="4" spans="1:12" ht="15" customHeight="1" x14ac:dyDescent="0.25">
      <c r="A4" s="1"/>
      <c r="B4" s="111"/>
      <c r="C4" s="111"/>
      <c r="D4" s="111"/>
      <c r="E4" s="111"/>
      <c r="F4" s="111"/>
      <c r="G4" s="111"/>
      <c r="H4" s="111"/>
      <c r="I4" s="111"/>
      <c r="J4" s="111"/>
      <c r="K4" s="11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5" t="s">
        <v>163</v>
      </c>
      <c r="C8" s="116"/>
      <c r="D8" s="116"/>
      <c r="E8" s="116"/>
      <c r="F8" s="116"/>
      <c r="G8" s="116"/>
      <c r="H8" s="116"/>
      <c r="I8" s="116"/>
      <c r="J8" s="116"/>
      <c r="K8" s="117"/>
      <c r="L8" s="1"/>
    </row>
    <row r="9" spans="1:12" ht="39.75" customHeight="1" x14ac:dyDescent="0.25">
      <c r="A9" s="1"/>
      <c r="B9" s="19" t="s">
        <v>0</v>
      </c>
      <c r="C9" s="19" t="s">
        <v>1</v>
      </c>
      <c r="D9" s="149" t="s">
        <v>175</v>
      </c>
      <c r="E9" s="150"/>
      <c r="F9" s="149" t="s">
        <v>2</v>
      </c>
      <c r="G9" s="150"/>
      <c r="H9" s="149" t="s">
        <v>176</v>
      </c>
      <c r="I9" s="150"/>
      <c r="J9" s="149" t="s">
        <v>26</v>
      </c>
      <c r="K9" s="150"/>
      <c r="L9" s="1"/>
    </row>
    <row r="10" spans="1:12" x14ac:dyDescent="0.25">
      <c r="A10" s="1"/>
      <c r="B10" s="87" t="s">
        <v>248</v>
      </c>
      <c r="C10" s="35">
        <v>0</v>
      </c>
      <c r="D10" s="9">
        <v>0</v>
      </c>
      <c r="E10" s="14" t="s">
        <v>3</v>
      </c>
      <c r="F10" s="9">
        <f t="shared" ref="F10" si="0">IFERROR(D10/C10,0)</f>
        <v>0</v>
      </c>
      <c r="G10" s="14" t="s">
        <v>3</v>
      </c>
      <c r="H10" s="9">
        <v>0</v>
      </c>
      <c r="I10" s="14" t="s">
        <v>3</v>
      </c>
      <c r="J10" s="9">
        <v>0</v>
      </c>
      <c r="K10" s="14" t="s">
        <v>3</v>
      </c>
      <c r="L10" s="1"/>
    </row>
    <row r="11" spans="1:12" x14ac:dyDescent="0.25">
      <c r="A11" s="1"/>
      <c r="B11" s="115" t="s">
        <v>223</v>
      </c>
      <c r="C11" s="116"/>
      <c r="D11" s="116"/>
      <c r="E11" s="117"/>
      <c r="F11" s="12">
        <f>SUM(F10:F10)</f>
        <v>0</v>
      </c>
      <c r="G11" s="77" t="s">
        <v>3</v>
      </c>
      <c r="H11" s="12">
        <f>SUM(H10:H10)</f>
        <v>0</v>
      </c>
      <c r="I11" s="77"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37"/>
      <c r="B43" s="37"/>
      <c r="C43" s="37"/>
      <c r="D43" s="37"/>
      <c r="E43" s="37"/>
      <c r="F43" s="37"/>
      <c r="G43" s="37"/>
      <c r="H43" s="37"/>
      <c r="I43" s="37"/>
      <c r="J43" s="37"/>
      <c r="K43" s="37"/>
      <c r="L43" s="37"/>
    </row>
    <row r="44" spans="1:12" x14ac:dyDescent="0.25">
      <c r="A44" s="37"/>
      <c r="B44" s="37"/>
      <c r="C44" s="37"/>
      <c r="D44" s="37"/>
      <c r="E44" s="37"/>
      <c r="F44" s="37"/>
      <c r="G44" s="37"/>
      <c r="H44" s="37"/>
      <c r="I44" s="37"/>
      <c r="J44" s="37"/>
      <c r="K44" s="37"/>
      <c r="L44" s="37"/>
    </row>
    <row r="45" spans="1:12" x14ac:dyDescent="0.25">
      <c r="A45" s="37"/>
      <c r="B45" s="37"/>
      <c r="C45" s="37"/>
      <c r="D45" s="37"/>
      <c r="E45" s="37"/>
      <c r="F45" s="37"/>
      <c r="G45" s="37"/>
      <c r="H45" s="37"/>
      <c r="I45" s="37"/>
      <c r="J45" s="37"/>
      <c r="K45" s="37"/>
      <c r="L45" s="37"/>
    </row>
    <row r="46" spans="1:12" x14ac:dyDescent="0.25">
      <c r="A46" s="37"/>
      <c r="B46" s="37"/>
      <c r="C46" s="37"/>
      <c r="D46" s="37"/>
      <c r="E46" s="37"/>
      <c r="F46" s="37"/>
      <c r="G46" s="37"/>
      <c r="H46" s="37"/>
      <c r="I46" s="37"/>
      <c r="J46" s="37"/>
      <c r="K46" s="37"/>
      <c r="L46" s="37"/>
    </row>
  </sheetData>
  <sheetProtection algorithmName="SHA-512" hashValue="rDbqwpa1MTLAxya2dgS1RjGc7pl4a3YJTbH+CJcFrTnIDusUaVorZKQ8VcdHXJNIOitXZP1tPb/5NWgjklETzg==" saltValue="0lnImdUGQf3UgE5fEoU26w=="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183</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2" t="s">
        <v>72</v>
      </c>
      <c r="C8" s="63"/>
      <c r="D8" s="63"/>
      <c r="E8" s="63"/>
      <c r="F8" s="20"/>
      <c r="G8" s="1"/>
    </row>
    <row r="9" spans="1:7" ht="17.25" customHeight="1" x14ac:dyDescent="0.25">
      <c r="A9" s="1"/>
      <c r="B9" s="88" t="s">
        <v>15</v>
      </c>
      <c r="C9" s="88" t="s">
        <v>10</v>
      </c>
      <c r="D9" s="89"/>
      <c r="E9" s="88" t="s">
        <v>27</v>
      </c>
      <c r="F9" s="32"/>
      <c r="G9" s="1"/>
    </row>
    <row r="10" spans="1:7" ht="17.25" customHeight="1" x14ac:dyDescent="0.25">
      <c r="A10" s="1"/>
      <c r="B10" s="24" t="s">
        <v>126</v>
      </c>
      <c r="C10" s="22">
        <f>'Fane 9. Anlægsprojekter (§ 19) '!H11</f>
        <v>0</v>
      </c>
      <c r="D10" s="14" t="s">
        <v>3</v>
      </c>
      <c r="E10" s="9">
        <f>SUM('Fane 9. Anlægsprojekter (§ 19) '!F11,'Fane 9. Anlægsprojekter (§ 19) '!J11)</f>
        <v>0</v>
      </c>
      <c r="F10" s="14" t="s">
        <v>3</v>
      </c>
      <c r="G10" s="1"/>
    </row>
    <row r="11" spans="1:7" ht="17.25" customHeight="1" x14ac:dyDescent="0.25">
      <c r="A11" s="1"/>
      <c r="B11" s="24" t="s">
        <v>258</v>
      </c>
      <c r="C11" s="22">
        <v>0</v>
      </c>
      <c r="D11" s="14" t="s">
        <v>3</v>
      </c>
      <c r="E11" s="9">
        <v>3939158</v>
      </c>
      <c r="F11" s="14" t="s">
        <v>3</v>
      </c>
      <c r="G11" s="1"/>
    </row>
    <row r="12" spans="1:7" ht="17.25" customHeight="1" x14ac:dyDescent="0.25">
      <c r="A12" s="1"/>
      <c r="B12" s="24" t="s">
        <v>259</v>
      </c>
      <c r="C12" s="22">
        <v>8805206</v>
      </c>
      <c r="D12" s="14" t="s">
        <v>3</v>
      </c>
      <c r="E12" s="9">
        <v>0</v>
      </c>
      <c r="F12" s="14" t="s">
        <v>3</v>
      </c>
      <c r="G12" s="1"/>
    </row>
    <row r="13" spans="1:7" ht="17.25" customHeight="1" x14ac:dyDescent="0.25">
      <c r="A13" s="1"/>
      <c r="B13" s="24" t="s">
        <v>260</v>
      </c>
      <c r="C13" s="22">
        <v>0</v>
      </c>
      <c r="D13" s="14" t="s">
        <v>3</v>
      </c>
      <c r="E13" s="9">
        <v>1145278</v>
      </c>
      <c r="F13" s="14" t="s">
        <v>3</v>
      </c>
      <c r="G13" s="1"/>
    </row>
    <row r="14" spans="1:7" ht="17.25" customHeight="1" x14ac:dyDescent="0.25">
      <c r="A14" s="1"/>
      <c r="B14" s="24" t="s">
        <v>261</v>
      </c>
      <c r="C14" s="22">
        <v>0</v>
      </c>
      <c r="D14" s="14" t="s">
        <v>3</v>
      </c>
      <c r="E14" s="9">
        <v>5277</v>
      </c>
      <c r="F14" s="14" t="s">
        <v>3</v>
      </c>
      <c r="G14" s="1"/>
    </row>
    <row r="15" spans="1:7" ht="17.25" customHeight="1" x14ac:dyDescent="0.25">
      <c r="A15" s="1"/>
      <c r="B15" s="24" t="s">
        <v>262</v>
      </c>
      <c r="C15" s="22">
        <v>0</v>
      </c>
      <c r="D15" s="14" t="s">
        <v>3</v>
      </c>
      <c r="E15" s="9">
        <v>165139</v>
      </c>
      <c r="F15" s="14" t="s">
        <v>3</v>
      </c>
      <c r="G15" s="1"/>
    </row>
    <row r="16" spans="1:7" x14ac:dyDescent="0.25">
      <c r="A16" s="1"/>
      <c r="B16" s="24" t="s">
        <v>263</v>
      </c>
      <c r="C16" s="22">
        <v>6590787</v>
      </c>
      <c r="D16" s="14" t="s">
        <v>3</v>
      </c>
      <c r="E16" s="9">
        <v>0</v>
      </c>
      <c r="F16" s="14" t="s">
        <v>3</v>
      </c>
      <c r="G16" s="1"/>
    </row>
    <row r="17" spans="1:7" x14ac:dyDescent="0.25">
      <c r="A17" s="1"/>
      <c r="B17" s="24" t="s">
        <v>264</v>
      </c>
      <c r="C17" s="22">
        <v>0</v>
      </c>
      <c r="D17" s="14" t="s">
        <v>3</v>
      </c>
      <c r="E17" s="9">
        <v>885754</v>
      </c>
      <c r="F17" s="14" t="s">
        <v>3</v>
      </c>
      <c r="G17" s="1"/>
    </row>
    <row r="18" spans="1:7" x14ac:dyDescent="0.25">
      <c r="A18" s="1"/>
      <c r="B18" s="24" t="s">
        <v>265</v>
      </c>
      <c r="C18" s="22">
        <v>689518</v>
      </c>
      <c r="D18" s="14" t="s">
        <v>3</v>
      </c>
      <c r="E18" s="9">
        <v>0</v>
      </c>
      <c r="F18" s="14" t="s">
        <v>3</v>
      </c>
      <c r="G18" s="1"/>
    </row>
    <row r="19" spans="1:7" x14ac:dyDescent="0.25">
      <c r="A19" s="1"/>
      <c r="B19" s="24" t="s">
        <v>277</v>
      </c>
      <c r="C19" s="22">
        <v>0</v>
      </c>
      <c r="D19" s="14" t="s">
        <v>3</v>
      </c>
      <c r="E19" s="9">
        <v>15562851</v>
      </c>
      <c r="F19" s="14" t="s">
        <v>3</v>
      </c>
      <c r="G19" s="1"/>
    </row>
    <row r="20" spans="1:7" x14ac:dyDescent="0.25">
      <c r="A20" s="1"/>
      <c r="B20" s="24"/>
      <c r="C20" s="22"/>
      <c r="D20" s="14" t="s">
        <v>3</v>
      </c>
      <c r="E20" s="9"/>
      <c r="F20" s="14" t="s">
        <v>3</v>
      </c>
      <c r="G20" s="1"/>
    </row>
    <row r="21" spans="1:7" x14ac:dyDescent="0.25">
      <c r="A21" s="1"/>
      <c r="B21" s="62" t="s">
        <v>158</v>
      </c>
      <c r="C21" s="12">
        <f>SUM(C10:C20)</f>
        <v>16085511</v>
      </c>
      <c r="D21" s="13" t="s">
        <v>3</v>
      </c>
      <c r="E21" s="12">
        <f>SUM(E10:E20)</f>
        <v>21703457</v>
      </c>
      <c r="F21" s="13" t="s">
        <v>3</v>
      </c>
      <c r="G21" s="1"/>
    </row>
    <row r="22" spans="1:7" x14ac:dyDescent="0.25">
      <c r="A22" s="1"/>
      <c r="B22" s="62" t="s">
        <v>224</v>
      </c>
      <c r="C22" s="12">
        <f>C21*(1+'Fane 13. Nøgletal'!C16)</f>
        <v>17385220.288800001</v>
      </c>
      <c r="D22" s="13" t="s">
        <v>3</v>
      </c>
      <c r="E22" s="12">
        <f>E21*(1+'Fane 13. Nøgletal'!C16)</f>
        <v>23457096.325599998</v>
      </c>
      <c r="F22" s="13" t="s">
        <v>3</v>
      </c>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37"/>
      <c r="B50" s="37"/>
      <c r="C50" s="37"/>
      <c r="D50" s="37"/>
      <c r="E50" s="37"/>
      <c r="F50" s="37"/>
      <c r="G50" s="37"/>
    </row>
    <row r="51" spans="1:7" x14ac:dyDescent="0.25">
      <c r="A51" s="37"/>
      <c r="B51" s="37"/>
      <c r="C51" s="37"/>
      <c r="D51" s="37"/>
      <c r="E51" s="37"/>
      <c r="F51" s="37"/>
      <c r="G51" s="37"/>
    </row>
    <row r="52" spans="1:7" x14ac:dyDescent="0.25">
      <c r="A52" s="37"/>
      <c r="B52" s="37"/>
      <c r="C52" s="37"/>
      <c r="D52" s="37"/>
      <c r="E52" s="37"/>
      <c r="F52" s="37"/>
      <c r="G52" s="37"/>
    </row>
    <row r="53" spans="1:7" x14ac:dyDescent="0.25">
      <c r="A53" s="37"/>
      <c r="B53" s="37"/>
      <c r="C53" s="37"/>
      <c r="D53" s="37"/>
      <c r="E53" s="37"/>
      <c r="F53" s="37"/>
      <c r="G53" s="37"/>
    </row>
  </sheetData>
  <sheetProtection algorithmName="SHA-512" hashValue="JMElTUQQT4c8SL0KB11aIQIqJozI2MtMN9RfYp9TJiuXgkL+BgaOfKUpvt3uf9Nj0ubV0X3hApZsed9Zy7JPWw==" saltValue="TOEKdhv+j/N0Cq1/FMFQ9Q==" spinCount="100000" sheet="1" objects="1" scenarios="1"/>
  <mergeCells count="1">
    <mergeCell ref="B3:F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184</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15" t="s">
        <v>225</v>
      </c>
      <c r="C9" s="116"/>
      <c r="D9" s="116"/>
      <c r="E9" s="116"/>
      <c r="F9" s="117"/>
      <c r="G9" s="1"/>
    </row>
    <row r="10" spans="1:7" x14ac:dyDescent="0.25">
      <c r="A10" s="1"/>
      <c r="B10" s="88" t="s">
        <v>15</v>
      </c>
      <c r="C10" s="88" t="s">
        <v>10</v>
      </c>
      <c r="D10" s="89"/>
      <c r="E10" s="88" t="s">
        <v>27</v>
      </c>
      <c r="F10" s="32"/>
      <c r="G10" s="1"/>
    </row>
    <row r="11" spans="1:7" x14ac:dyDescent="0.25">
      <c r="A11" s="1"/>
      <c r="B11" s="24" t="s">
        <v>276</v>
      </c>
      <c r="C11" s="22"/>
      <c r="D11" s="14" t="s">
        <v>3</v>
      </c>
      <c r="E11" s="22"/>
      <c r="F11" s="14" t="s">
        <v>3</v>
      </c>
      <c r="G11" s="1"/>
    </row>
    <row r="12" spans="1:7" x14ac:dyDescent="0.25">
      <c r="A12" s="1"/>
      <c r="B12" s="24"/>
      <c r="C12" s="22"/>
      <c r="D12" s="14" t="s">
        <v>3</v>
      </c>
      <c r="E12" s="9"/>
      <c r="F12" s="14" t="s">
        <v>3</v>
      </c>
      <c r="G12" s="1"/>
    </row>
    <row r="13" spans="1:7" x14ac:dyDescent="0.25">
      <c r="A13" s="1"/>
      <c r="B13" s="62" t="s">
        <v>226</v>
      </c>
      <c r="C13" s="12">
        <f>SUM(C11:C12)</f>
        <v>0</v>
      </c>
      <c r="D13" s="13" t="s">
        <v>3</v>
      </c>
      <c r="E13" s="12">
        <f>SUM(E11:E12)</f>
        <v>0</v>
      </c>
      <c r="F13" s="13" t="s">
        <v>3</v>
      </c>
      <c r="G13" s="1"/>
    </row>
    <row r="14" spans="1:7" x14ac:dyDescent="0.25">
      <c r="A14" s="1"/>
      <c r="B14" s="62" t="s">
        <v>227</v>
      </c>
      <c r="C14" s="12">
        <f>C13*(1+'Fane 13. Nøgletal'!C16)^2</f>
        <v>0</v>
      </c>
      <c r="D14" s="13" t="s">
        <v>3</v>
      </c>
      <c r="E14" s="12">
        <f>E13*(1+'Fane 13. Nøgletal'!C16)^2</f>
        <v>0</v>
      </c>
      <c r="F14" s="13" t="s">
        <v>3</v>
      </c>
      <c r="G14" s="1"/>
    </row>
    <row r="15" spans="1:7" x14ac:dyDescent="0.25">
      <c r="A15" s="1"/>
      <c r="B15" s="1"/>
      <c r="C15" s="1"/>
      <c r="D15" s="1"/>
      <c r="E15" s="1"/>
      <c r="F15" s="1"/>
      <c r="G15" s="1"/>
    </row>
    <row r="16" spans="1:7" x14ac:dyDescent="0.25">
      <c r="A16" s="1"/>
      <c r="B16" s="151"/>
      <c r="C16" s="151"/>
      <c r="D16" s="151"/>
      <c r="E16" s="151"/>
      <c r="F16" s="151"/>
      <c r="G16" s="1"/>
    </row>
    <row r="17" spans="1:7" x14ac:dyDescent="0.25">
      <c r="A17" s="1"/>
      <c r="B17" s="39"/>
      <c r="C17" s="39"/>
      <c r="D17" s="39"/>
      <c r="E17" s="39"/>
      <c r="F17" s="40"/>
      <c r="G17" s="1"/>
    </row>
    <row r="18" spans="1:7" x14ac:dyDescent="0.25">
      <c r="A18" s="1"/>
      <c r="B18" s="41"/>
      <c r="C18" s="42"/>
      <c r="D18" s="43"/>
      <c r="E18" s="42"/>
      <c r="F18" s="43"/>
      <c r="G18" s="1"/>
    </row>
    <row r="19" spans="1:7" x14ac:dyDescent="0.25">
      <c r="A19" s="1"/>
      <c r="B19" s="41"/>
      <c r="C19" s="42"/>
      <c r="D19" s="43"/>
      <c r="E19" s="44"/>
      <c r="F19" s="43"/>
      <c r="G19" s="1"/>
    </row>
    <row r="20" spans="1:7" x14ac:dyDescent="0.25">
      <c r="A20" s="1"/>
      <c r="B20" s="45"/>
      <c r="C20" s="46"/>
      <c r="D20" s="47"/>
      <c r="E20" s="46"/>
      <c r="F20" s="47"/>
      <c r="G20" s="1"/>
    </row>
    <row r="21" spans="1:7" x14ac:dyDescent="0.25">
      <c r="A21" s="1"/>
      <c r="B21" s="45"/>
      <c r="C21" s="46"/>
      <c r="D21" s="47"/>
      <c r="E21" s="46"/>
      <c r="F21" s="47"/>
      <c r="G21" s="1"/>
    </row>
    <row r="22" spans="1:7" x14ac:dyDescent="0.25">
      <c r="A22" s="1"/>
      <c r="B22" s="38"/>
      <c r="C22" s="38"/>
      <c r="D22" s="38"/>
      <c r="E22" s="38"/>
      <c r="F22" s="38"/>
      <c r="G22" s="1"/>
    </row>
    <row r="23" spans="1:7" x14ac:dyDescent="0.25">
      <c r="A23" s="1"/>
      <c r="B23" s="151"/>
      <c r="C23" s="151"/>
      <c r="D23" s="151"/>
      <c r="E23" s="151"/>
      <c r="F23" s="151"/>
      <c r="G23" s="1"/>
    </row>
    <row r="24" spans="1:7" x14ac:dyDescent="0.25">
      <c r="A24" s="1"/>
      <c r="B24" s="39"/>
      <c r="C24" s="39"/>
      <c r="D24" s="39"/>
      <c r="E24" s="39"/>
      <c r="F24" s="40"/>
      <c r="G24" s="1"/>
    </row>
    <row r="25" spans="1:7" x14ac:dyDescent="0.25">
      <c r="A25" s="1"/>
      <c r="B25" s="41"/>
      <c r="C25" s="42"/>
      <c r="D25" s="43"/>
      <c r="E25" s="42"/>
      <c r="F25" s="43"/>
      <c r="G25" s="1"/>
    </row>
    <row r="26" spans="1:7" x14ac:dyDescent="0.25">
      <c r="A26" s="1"/>
      <c r="B26" s="41"/>
      <c r="C26" s="42"/>
      <c r="D26" s="43"/>
      <c r="E26" s="44"/>
      <c r="F26" s="43"/>
      <c r="G26" s="1"/>
    </row>
    <row r="27" spans="1:7" x14ac:dyDescent="0.25">
      <c r="A27" s="1"/>
      <c r="B27" s="45"/>
      <c r="C27" s="46"/>
      <c r="D27" s="47"/>
      <c r="E27" s="46"/>
      <c r="F27" s="47"/>
      <c r="G27" s="1"/>
    </row>
    <row r="28" spans="1:7" x14ac:dyDescent="0.25">
      <c r="A28" s="1"/>
      <c r="B28" s="45"/>
      <c r="C28" s="46"/>
      <c r="D28" s="47"/>
      <c r="E28" s="46"/>
      <c r="F28" s="47"/>
      <c r="G28" s="1"/>
    </row>
    <row r="29" spans="1:7" x14ac:dyDescent="0.25">
      <c r="A29" s="1"/>
      <c r="B29" s="38"/>
      <c r="C29" s="38"/>
      <c r="D29" s="38"/>
      <c r="E29" s="38"/>
      <c r="F29" s="38"/>
      <c r="G29" s="1"/>
    </row>
    <row r="30" spans="1:7" x14ac:dyDescent="0.25">
      <c r="A30" s="1"/>
      <c r="B30" s="151"/>
      <c r="C30" s="151"/>
      <c r="D30" s="151"/>
      <c r="E30" s="151"/>
      <c r="F30" s="151"/>
      <c r="G30" s="1"/>
    </row>
    <row r="31" spans="1:7" x14ac:dyDescent="0.25">
      <c r="A31" s="1"/>
      <c r="B31" s="39"/>
      <c r="C31" s="39"/>
      <c r="D31" s="39"/>
      <c r="E31" s="39"/>
      <c r="F31" s="40"/>
      <c r="G31" s="1"/>
    </row>
    <row r="32" spans="1:7" x14ac:dyDescent="0.25">
      <c r="A32" s="1"/>
      <c r="B32" s="41"/>
      <c r="C32" s="42"/>
      <c r="D32" s="43"/>
      <c r="E32" s="42"/>
      <c r="F32" s="43"/>
      <c r="G32" s="1"/>
    </row>
    <row r="33" spans="1:7" x14ac:dyDescent="0.25">
      <c r="A33" s="1"/>
      <c r="B33" s="41"/>
      <c r="C33" s="42"/>
      <c r="D33" s="43"/>
      <c r="E33" s="44"/>
      <c r="F33" s="43"/>
      <c r="G33" s="1"/>
    </row>
    <row r="34" spans="1:7" x14ac:dyDescent="0.25">
      <c r="A34" s="1"/>
      <c r="B34" s="45"/>
      <c r="C34" s="46"/>
      <c r="D34" s="47"/>
      <c r="E34" s="46"/>
      <c r="F34" s="47"/>
      <c r="G34" s="1"/>
    </row>
    <row r="35" spans="1:7" x14ac:dyDescent="0.25">
      <c r="A35" s="1"/>
      <c r="B35" s="45"/>
      <c r="C35" s="46"/>
      <c r="D35" s="47"/>
      <c r="E35" s="46"/>
      <c r="F35" s="47"/>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9xBflJ/9st/uQ4q4/tRKqc70aRrYkY+7hVV0UlooUFRjRRLH6tmwiufmy2XpSv3AOxsog+d6DXVCLtrTypNrg==" saltValue="QM7ODd4nchMxRK3l82PbFg==" spinCount="100000" sheet="1" objects="1" scenarios="1"/>
  <mergeCells count="5">
    <mergeCell ref="B30:F30"/>
    <mergeCell ref="B3:F4"/>
    <mergeCell ref="B9:F9"/>
    <mergeCell ref="B16:F16"/>
    <mergeCell ref="B23:F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7109375" style="2" customWidth="1"/>
    <col min="4" max="4" width="3.28515625" style="2" customWidth="1"/>
    <col min="5" max="5" width="14"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3" t="s">
        <v>185</v>
      </c>
      <c r="C3" s="113"/>
      <c r="D3" s="113"/>
      <c r="E3" s="113"/>
      <c r="F3" s="113"/>
      <c r="G3" s="1"/>
    </row>
    <row r="4" spans="1:7" ht="25.5" customHeight="1" x14ac:dyDescent="0.25">
      <c r="A4" s="1"/>
      <c r="B4" s="113"/>
      <c r="C4" s="113"/>
      <c r="D4" s="113"/>
      <c r="E4" s="113"/>
      <c r="F4" s="11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5" t="s">
        <v>116</v>
      </c>
      <c r="C8" s="116"/>
      <c r="D8" s="116"/>
      <c r="E8" s="116"/>
      <c r="F8" s="117"/>
      <c r="G8" s="1"/>
    </row>
    <row r="9" spans="1:7" ht="15" customHeight="1" x14ac:dyDescent="0.25">
      <c r="A9" s="1"/>
      <c r="B9" s="64" t="s">
        <v>117</v>
      </c>
      <c r="C9" s="146" t="s">
        <v>10</v>
      </c>
      <c r="D9" s="148"/>
      <c r="E9" s="146" t="s">
        <v>27</v>
      </c>
      <c r="F9" s="148"/>
      <c r="G9" s="1"/>
    </row>
    <row r="10" spans="1:7" ht="26.25" x14ac:dyDescent="0.25">
      <c r="A10" s="1"/>
      <c r="B10" s="66" t="s">
        <v>251</v>
      </c>
      <c r="C10" s="9">
        <v>0</v>
      </c>
      <c r="D10" s="14" t="s">
        <v>3</v>
      </c>
      <c r="E10" s="9">
        <v>0</v>
      </c>
      <c r="F10" s="14" t="s">
        <v>3</v>
      </c>
      <c r="G10" s="1"/>
    </row>
    <row r="11" spans="1:7" x14ac:dyDescent="0.25">
      <c r="A11" s="1"/>
      <c r="B11" s="24"/>
      <c r="C11" s="9"/>
      <c r="D11" s="14" t="s">
        <v>3</v>
      </c>
      <c r="E11" s="9"/>
      <c r="F11" s="14" t="s">
        <v>166</v>
      </c>
      <c r="G11" s="1"/>
    </row>
    <row r="12" spans="1:7" ht="28.5" customHeight="1" x14ac:dyDescent="0.25">
      <c r="A12" s="1"/>
      <c r="B12" s="21" t="s">
        <v>159</v>
      </c>
      <c r="C12" s="12">
        <f>SUM(C10:C11)</f>
        <v>0</v>
      </c>
      <c r="D12" s="13" t="s">
        <v>3</v>
      </c>
      <c r="E12" s="12">
        <f>SUM(E10:E11)</f>
        <v>0</v>
      </c>
      <c r="F12" s="13" t="s">
        <v>3</v>
      </c>
      <c r="G12" s="1"/>
    </row>
    <row r="13" spans="1:7" ht="27" customHeight="1" x14ac:dyDescent="0.25">
      <c r="A13" s="1"/>
      <c r="B13" s="21" t="s">
        <v>228</v>
      </c>
      <c r="C13" s="12">
        <f>C12*(1+'Fane 13. Nøgletal'!C16)</f>
        <v>0</v>
      </c>
      <c r="D13" s="13" t="s">
        <v>3</v>
      </c>
      <c r="E13" s="12">
        <f>E12*(1+'Fane 13. Nøgletal'!C16)</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xWwpSvGMLvXMNK1zMo4RAwYx9MUnPLga9SXUhIZklkOyxjFKwYHvXGsZ3sdFxE2S15FeRqIf3hS8gQyoEFPbMw==" saltValue="Ma9BWMPcYhxtnortVzeuNg=="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7.42578125" style="2" customWidth="1"/>
    <col min="4" max="4" width="3" style="2" customWidth="1"/>
    <col min="5" max="5" width="17.42578125" style="2" customWidth="1"/>
    <col min="6" max="6" width="3" style="2" customWidth="1"/>
    <col min="7" max="7" width="3.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3" t="s">
        <v>186</v>
      </c>
      <c r="C3" s="113"/>
      <c r="D3" s="113"/>
      <c r="E3" s="113"/>
      <c r="F3" s="113"/>
      <c r="G3" s="1"/>
    </row>
    <row r="4" spans="1:7" ht="25.5" customHeight="1" x14ac:dyDescent="0.25">
      <c r="A4" s="1"/>
      <c r="B4" s="113"/>
      <c r="C4" s="113"/>
      <c r="D4" s="113"/>
      <c r="E4" s="113"/>
      <c r="F4" s="11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5" t="s">
        <v>247</v>
      </c>
      <c r="C9" s="116"/>
      <c r="D9" s="116"/>
      <c r="E9" s="116"/>
      <c r="F9" s="117"/>
      <c r="G9" s="1"/>
    </row>
    <row r="10" spans="1:7" ht="26.25" x14ac:dyDescent="0.25">
      <c r="A10" s="1"/>
      <c r="B10" s="64" t="s">
        <v>16</v>
      </c>
      <c r="C10" s="64" t="s">
        <v>10</v>
      </c>
      <c r="D10" s="32"/>
      <c r="E10" s="64" t="s">
        <v>27</v>
      </c>
      <c r="F10" s="32"/>
      <c r="G10" s="1"/>
    </row>
    <row r="11" spans="1:7" x14ac:dyDescent="0.25">
      <c r="A11" s="1"/>
      <c r="B11" s="66" t="s">
        <v>252</v>
      </c>
      <c r="C11" s="9">
        <v>0</v>
      </c>
      <c r="D11" s="14" t="s">
        <v>3</v>
      </c>
      <c r="E11" s="9">
        <v>0</v>
      </c>
      <c r="F11" s="14" t="s">
        <v>3</v>
      </c>
      <c r="G11" s="1"/>
    </row>
    <row r="12" spans="1:7" x14ac:dyDescent="0.25">
      <c r="A12" s="1"/>
      <c r="B12" s="62" t="s">
        <v>80</v>
      </c>
      <c r="C12" s="12">
        <f>SUM(C11:C11)</f>
        <v>0</v>
      </c>
      <c r="D12" s="13" t="s">
        <v>3</v>
      </c>
      <c r="E12" s="12">
        <f>SUM(E11:E11)</f>
        <v>0</v>
      </c>
      <c r="F12" s="13" t="s">
        <v>3</v>
      </c>
      <c r="G12" s="1"/>
    </row>
    <row r="13" spans="1:7" x14ac:dyDescent="0.25">
      <c r="A13" s="1"/>
      <c r="B13" s="62" t="s">
        <v>244</v>
      </c>
      <c r="C13" s="12">
        <f>C12*(1+'Fane 13. Nøgletal'!C16)</f>
        <v>0</v>
      </c>
      <c r="D13" s="13" t="s">
        <v>3</v>
      </c>
      <c r="E13" s="12">
        <f>E12*(1+'Fane 13. Nøgletal'!C16)</f>
        <v>0</v>
      </c>
      <c r="F13" s="13" t="s">
        <v>3</v>
      </c>
      <c r="G13" s="1"/>
    </row>
    <row r="14" spans="1:7" x14ac:dyDescent="0.25">
      <c r="A14" s="1"/>
      <c r="B14" s="1"/>
      <c r="C14" s="1"/>
      <c r="D14" s="1"/>
      <c r="E14" s="1"/>
      <c r="F14" s="1"/>
      <c r="G14" s="1"/>
    </row>
    <row r="15" spans="1:7" x14ac:dyDescent="0.25">
      <c r="A15" s="1"/>
      <c r="B15" s="151"/>
      <c r="C15" s="151"/>
      <c r="D15" s="151"/>
      <c r="E15" s="151"/>
      <c r="F15" s="151"/>
      <c r="G15" s="1"/>
    </row>
    <row r="16" spans="1:7" x14ac:dyDescent="0.25">
      <c r="A16" s="1"/>
      <c r="B16" s="40"/>
      <c r="C16" s="40"/>
      <c r="D16" s="40"/>
      <c r="E16" s="40"/>
      <c r="F16" s="40"/>
      <c r="G16" s="1"/>
    </row>
    <row r="17" spans="1:7" x14ac:dyDescent="0.25">
      <c r="A17" s="1"/>
      <c r="B17" s="41"/>
      <c r="C17" s="44"/>
      <c r="D17" s="43"/>
      <c r="E17" s="44"/>
      <c r="F17" s="43"/>
      <c r="G17" s="1"/>
    </row>
    <row r="18" spans="1:7" x14ac:dyDescent="0.25">
      <c r="A18" s="1"/>
      <c r="B18" s="45"/>
      <c r="C18" s="46"/>
      <c r="D18" s="47"/>
      <c r="E18" s="46"/>
      <c r="F18" s="47"/>
      <c r="G18" s="1"/>
    </row>
    <row r="19" spans="1:7" x14ac:dyDescent="0.25">
      <c r="A19" s="1"/>
      <c r="B19" s="45"/>
      <c r="C19" s="46"/>
      <c r="D19" s="47"/>
      <c r="E19" s="46"/>
      <c r="F19" s="47"/>
      <c r="G19" s="1"/>
    </row>
    <row r="20" spans="1:7" x14ac:dyDescent="0.25">
      <c r="A20" s="1"/>
      <c r="B20" s="38"/>
      <c r="C20" s="38"/>
      <c r="D20" s="38"/>
      <c r="E20" s="38"/>
      <c r="F20" s="38"/>
      <c r="G20" s="1"/>
    </row>
    <row r="21" spans="1:7" x14ac:dyDescent="0.25">
      <c r="A21" s="1"/>
      <c r="B21" s="151"/>
      <c r="C21" s="151"/>
      <c r="D21" s="151"/>
      <c r="E21" s="151"/>
      <c r="F21" s="151"/>
      <c r="G21" s="1"/>
    </row>
    <row r="22" spans="1:7" x14ac:dyDescent="0.25">
      <c r="A22" s="1"/>
      <c r="B22" s="40"/>
      <c r="C22" s="40"/>
      <c r="D22" s="40"/>
      <c r="E22" s="40"/>
      <c r="F22" s="40"/>
      <c r="G22" s="1"/>
    </row>
    <row r="23" spans="1:7" x14ac:dyDescent="0.25">
      <c r="A23" s="1"/>
      <c r="B23" s="41"/>
      <c r="C23" s="44"/>
      <c r="D23" s="43"/>
      <c r="E23" s="44"/>
      <c r="F23" s="43"/>
      <c r="G23" s="1"/>
    </row>
    <row r="24" spans="1:7" x14ac:dyDescent="0.25">
      <c r="A24" s="1"/>
      <c r="B24" s="45"/>
      <c r="C24" s="46"/>
      <c r="D24" s="47"/>
      <c r="E24" s="46"/>
      <c r="F24" s="47"/>
      <c r="G24" s="1"/>
    </row>
    <row r="25" spans="1:7" x14ac:dyDescent="0.25">
      <c r="A25" s="1"/>
      <c r="B25" s="45"/>
      <c r="C25" s="46"/>
      <c r="D25" s="47"/>
      <c r="E25" s="46"/>
      <c r="F25" s="47"/>
      <c r="G25" s="1"/>
    </row>
    <row r="26" spans="1:7" x14ac:dyDescent="0.25">
      <c r="A26" s="1"/>
      <c r="B26" s="38"/>
      <c r="C26" s="38"/>
      <c r="D26" s="38"/>
      <c r="E26" s="38"/>
      <c r="F26" s="38"/>
      <c r="G26" s="1"/>
    </row>
    <row r="27" spans="1:7" x14ac:dyDescent="0.25">
      <c r="A27" s="1"/>
      <c r="B27" s="151"/>
      <c r="C27" s="151"/>
      <c r="D27" s="151"/>
      <c r="E27" s="151"/>
      <c r="F27" s="151"/>
      <c r="G27" s="1"/>
    </row>
    <row r="28" spans="1:7" x14ac:dyDescent="0.25">
      <c r="A28" s="1"/>
      <c r="B28" s="40"/>
      <c r="C28" s="40"/>
      <c r="D28" s="40"/>
      <c r="E28" s="40"/>
      <c r="F28" s="40"/>
      <c r="G28" s="1"/>
    </row>
    <row r="29" spans="1:7" x14ac:dyDescent="0.25">
      <c r="A29" s="1"/>
      <c r="B29" s="41"/>
      <c r="C29" s="44"/>
      <c r="D29" s="43"/>
      <c r="E29" s="44"/>
      <c r="F29" s="43"/>
      <c r="G29" s="1"/>
    </row>
    <row r="30" spans="1:7" x14ac:dyDescent="0.25">
      <c r="A30" s="1"/>
      <c r="B30" s="45"/>
      <c r="C30" s="46"/>
      <c r="D30" s="47"/>
      <c r="E30" s="46"/>
      <c r="F30" s="47"/>
      <c r="G30" s="1"/>
    </row>
    <row r="31" spans="1:7" x14ac:dyDescent="0.25">
      <c r="A31" s="1"/>
      <c r="B31" s="45"/>
      <c r="C31" s="46"/>
      <c r="D31" s="47"/>
      <c r="E31" s="46"/>
      <c r="F31" s="47"/>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6vxAgSzEkN/rdK76jpPrd0a7ETQzViODqYqg8fIcPJCNVHOMkELFaqmxQ3kyquay1qWz5rHG9yCZ9q/B5RqGg==" saltValue="UNc9Foo/Qqlbj7RU1pEsXg=="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D53"/>
  <sheetViews>
    <sheetView showGridLines="0" view="pageLayout" zoomScaleNormal="100" workbookViewId="0"/>
  </sheetViews>
  <sheetFormatPr defaultColWidth="9.140625" defaultRowHeight="15" x14ac:dyDescent="0.25"/>
  <cols>
    <col min="1" max="1" width="11.140625" style="2" customWidth="1"/>
    <col min="2" max="2" width="55.71093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3" t="s">
        <v>187</v>
      </c>
      <c r="C3" s="113"/>
      <c r="D3" s="1"/>
    </row>
    <row r="4" spans="1:4" ht="25.5" customHeight="1" x14ac:dyDescent="0.25">
      <c r="A4" s="1"/>
      <c r="B4" s="113"/>
      <c r="C4" s="11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2" t="s">
        <v>13</v>
      </c>
      <c r="C8" s="20"/>
      <c r="D8" s="1"/>
    </row>
    <row r="9" spans="1:4" x14ac:dyDescent="0.25">
      <c r="A9" s="1"/>
      <c r="B9" s="81" t="s">
        <v>97</v>
      </c>
      <c r="C9" s="25">
        <v>1.2699999999999999E-2</v>
      </c>
      <c r="D9" s="1"/>
    </row>
    <row r="10" spans="1:4" x14ac:dyDescent="0.25">
      <c r="A10" s="1"/>
      <c r="B10" s="81" t="s">
        <v>21</v>
      </c>
      <c r="C10" s="25">
        <v>1.7500000000000002E-2</v>
      </c>
      <c r="D10" s="1"/>
    </row>
    <row r="11" spans="1:4" x14ac:dyDescent="0.25">
      <c r="A11" s="1"/>
      <c r="B11" s="81" t="s">
        <v>98</v>
      </c>
      <c r="C11" s="25">
        <v>1.6899999999999998E-2</v>
      </c>
      <c r="D11" s="1"/>
    </row>
    <row r="12" spans="1:4" x14ac:dyDescent="0.25">
      <c r="A12" s="1"/>
      <c r="B12" s="26" t="s">
        <v>35</v>
      </c>
      <c r="C12" s="27">
        <v>1.9699999999999999E-2</v>
      </c>
      <c r="D12" s="1"/>
    </row>
    <row r="13" spans="1:4" x14ac:dyDescent="0.25">
      <c r="A13" s="1"/>
      <c r="B13" s="26" t="s">
        <v>118</v>
      </c>
      <c r="C13" s="27">
        <v>1.2200000000000001E-2</v>
      </c>
      <c r="D13" s="1"/>
    </row>
    <row r="14" spans="1:4" x14ac:dyDescent="0.25">
      <c r="A14" s="1"/>
      <c r="B14" s="26" t="s">
        <v>138</v>
      </c>
      <c r="C14" s="27">
        <v>3.3E-3</v>
      </c>
      <c r="D14" s="1"/>
    </row>
    <row r="15" spans="1:4" x14ac:dyDescent="0.25">
      <c r="A15" s="1"/>
      <c r="B15" s="26" t="s">
        <v>160</v>
      </c>
      <c r="C15" s="27">
        <v>3.56E-2</v>
      </c>
      <c r="D15" s="1"/>
    </row>
    <row r="16" spans="1:4" x14ac:dyDescent="0.25">
      <c r="A16" s="1"/>
      <c r="B16" s="51" t="s">
        <v>206</v>
      </c>
      <c r="C16" s="60">
        <v>8.0799999999999997E-2</v>
      </c>
      <c r="D16" s="1"/>
    </row>
    <row r="17" spans="1:4" x14ac:dyDescent="0.25">
      <c r="A17" s="1"/>
      <c r="B17" s="62"/>
      <c r="C17" s="20"/>
      <c r="D17" s="1"/>
    </row>
    <row r="18" spans="1:4" x14ac:dyDescent="0.25">
      <c r="A18" s="1"/>
      <c r="B18" s="1"/>
      <c r="C18" s="1"/>
      <c r="D18" s="1"/>
    </row>
    <row r="19" spans="1:4" x14ac:dyDescent="0.25">
      <c r="A19" s="1"/>
      <c r="B19" s="1"/>
      <c r="C19" s="1"/>
      <c r="D19" s="1"/>
    </row>
    <row r="20" spans="1:4" x14ac:dyDescent="0.25">
      <c r="A20" s="1"/>
      <c r="B20" s="62" t="s">
        <v>83</v>
      </c>
      <c r="C20" s="20"/>
      <c r="D20" s="1"/>
    </row>
    <row r="21" spans="1:4" x14ac:dyDescent="0.25">
      <c r="A21" s="1"/>
      <c r="B21" s="81" t="s">
        <v>99</v>
      </c>
      <c r="C21" s="23">
        <v>9.1000000000000004E-3</v>
      </c>
      <c r="D21" s="1"/>
    </row>
    <row r="22" spans="1:4" x14ac:dyDescent="0.25">
      <c r="A22" s="1"/>
      <c r="B22" s="81" t="s">
        <v>100</v>
      </c>
      <c r="C22" s="23">
        <v>1.77E-2</v>
      </c>
      <c r="D22" s="1"/>
    </row>
    <row r="23" spans="1:4" x14ac:dyDescent="0.25">
      <c r="A23" s="1"/>
      <c r="B23" s="81" t="s">
        <v>102</v>
      </c>
      <c r="C23" s="23">
        <v>8.6999999999999994E-3</v>
      </c>
      <c r="D23" s="1"/>
    </row>
    <row r="24" spans="1:4" x14ac:dyDescent="0.25">
      <c r="A24" s="1"/>
      <c r="B24" s="81" t="s">
        <v>101</v>
      </c>
      <c r="C24" s="28">
        <v>2.8400000000000002E-2</v>
      </c>
      <c r="D24" s="1"/>
    </row>
    <row r="25" spans="1:4" x14ac:dyDescent="0.25">
      <c r="A25" s="1"/>
      <c r="B25" s="81" t="s">
        <v>119</v>
      </c>
      <c r="C25" s="28">
        <v>2.75E-2</v>
      </c>
      <c r="D25" s="1"/>
    </row>
    <row r="26" spans="1:4" x14ac:dyDescent="0.25">
      <c r="A26" s="1"/>
      <c r="B26" s="81" t="s">
        <v>139</v>
      </c>
      <c r="C26" s="28">
        <v>1.4800000000000001E-2</v>
      </c>
      <c r="D26" s="1"/>
    </row>
    <row r="27" spans="1:4" x14ac:dyDescent="0.25">
      <c r="A27" s="1"/>
      <c r="B27" s="26" t="s">
        <v>161</v>
      </c>
      <c r="C27" s="27">
        <v>0</v>
      </c>
      <c r="D27" s="1"/>
    </row>
    <row r="28" spans="1:4" x14ac:dyDescent="0.25">
      <c r="A28" s="1"/>
      <c r="B28" s="51" t="s">
        <v>231</v>
      </c>
      <c r="C28" s="60">
        <v>0</v>
      </c>
      <c r="D28" s="1"/>
    </row>
    <row r="29" spans="1:4" x14ac:dyDescent="0.25">
      <c r="A29" s="1"/>
      <c r="B29" s="62"/>
      <c r="C29" s="20"/>
      <c r="D29" s="1"/>
    </row>
    <row r="30" spans="1:4" x14ac:dyDescent="0.25">
      <c r="A30" s="1"/>
      <c r="B30" s="1"/>
      <c r="C30" s="1"/>
      <c r="D30" s="1"/>
    </row>
    <row r="31" spans="1:4" x14ac:dyDescent="0.25">
      <c r="A31" s="1"/>
      <c r="B31" s="1"/>
      <c r="C31" s="1"/>
      <c r="D31" s="1"/>
    </row>
    <row r="32" spans="1:4" x14ac:dyDescent="0.25">
      <c r="A32" s="1"/>
      <c r="B32" s="62" t="s">
        <v>84</v>
      </c>
      <c r="C32" s="20"/>
      <c r="D32" s="1"/>
    </row>
    <row r="33" spans="1:4" x14ac:dyDescent="0.25">
      <c r="A33" s="1"/>
      <c r="B33" s="81" t="s">
        <v>103</v>
      </c>
      <c r="C33" s="25">
        <v>0.02</v>
      </c>
      <c r="D33" s="1"/>
    </row>
    <row r="34" spans="1:4" x14ac:dyDescent="0.25">
      <c r="A34" s="1"/>
      <c r="B34" s="62"/>
      <c r="C34" s="20"/>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7"/>
      <c r="B50" s="37"/>
      <c r="C50" s="37"/>
      <c r="D50" s="37"/>
    </row>
    <row r="51" spans="1:4" x14ac:dyDescent="0.25">
      <c r="A51" s="37"/>
      <c r="B51" s="37"/>
      <c r="C51" s="37"/>
      <c r="D51" s="37"/>
    </row>
    <row r="52" spans="1:4" x14ac:dyDescent="0.25">
      <c r="A52" s="37"/>
      <c r="B52" s="37"/>
      <c r="C52" s="37"/>
      <c r="D52" s="37"/>
    </row>
    <row r="53" spans="1:4" x14ac:dyDescent="0.25">
      <c r="A53" s="37"/>
      <c r="B53" s="37"/>
      <c r="C53" s="37"/>
      <c r="D53" s="37"/>
    </row>
  </sheetData>
  <sheetProtection algorithmName="SHA-512" hashValue="AertADfNjA9bVAxhsNDpxzVkX1gDKAHMzmB6ibjIkhSuCMAZE8fig3fVzZi84c6UGvYy9MJEHGpnQw77ZWT6wg==" saltValue="oEae/AmvYIKYTUai9I3yh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8</vt:i4>
      </vt:variant>
    </vt:vector>
  </HeadingPairs>
  <TitlesOfParts>
    <vt:vector size="26"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2023-11-23T20:06:17Z</dcterms:modified>
</cp:coreProperties>
</file>