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Assens Rensning AS (S005)\ØR2025\"/>
    </mc:Choice>
  </mc:AlternateContent>
  <xr:revisionPtr revIDLastSave="0" documentId="13_ncr:1_{80177FD6-AD8B-4085-BC3B-1AA3FCC741AA}" xr6:coauthVersionLast="36" xr6:coauthVersionMax="36" xr10:uidLastSave="{00000000-0000-0000-0000-000000000000}"/>
  <bookViews>
    <workbookView xWindow="3120" yWindow="996" windowWidth="12756"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2025'!$B$8:$D$39</definedName>
    <definedName name="Fane21total">'Fane 2.1. Økonomisk ramme 2025'!$C$39</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2025'!$B$8:$D$39</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2025'!$C$39</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F67" i="11" l="1"/>
  <c r="C23" i="43" l="1"/>
  <c r="C27" i="43" s="1"/>
  <c r="J67" i="11" l="1"/>
  <c r="H67"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10" i="11" l="1"/>
  <c r="C11" i="29"/>
  <c r="C10" i="36" l="1"/>
  <c r="C10" i="30"/>
  <c r="C20" i="23" l="1"/>
  <c r="C22" i="22"/>
  <c r="C22" i="15"/>
  <c r="C36" i="2"/>
  <c r="C11" i="30" l="1"/>
  <c r="C15" i="30" s="1"/>
  <c r="C29" i="20" l="1"/>
  <c r="C28" i="20"/>
  <c r="C23" i="20"/>
  <c r="C22" i="20"/>
  <c r="C24" i="20" l="1"/>
  <c r="C30" i="20"/>
  <c r="C18" i="41"/>
  <c r="C16" i="20" l="1"/>
  <c r="C10" i="20"/>
  <c r="C32" i="2" l="1"/>
  <c r="C31" i="43"/>
  <c r="C33" i="43" l="1"/>
  <c r="C20" i="22" l="1"/>
  <c r="C20" i="15"/>
  <c r="C12" i="29" l="1"/>
  <c r="E11" i="29"/>
  <c r="E12" i="29" s="1"/>
  <c r="E13" i="39"/>
  <c r="E14" i="39" s="1"/>
  <c r="C13" i="39"/>
  <c r="C14" i="39" s="1"/>
  <c r="C10" i="37"/>
  <c r="C20" i="19"/>
  <c r="C21" i="19" s="1"/>
  <c r="C16" i="23" l="1"/>
  <c r="C16" i="15"/>
  <c r="C16" i="22"/>
  <c r="E10" i="37"/>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39" i="2" s="1"/>
  <c r="C13" i="15"/>
  <c r="C26" i="36"/>
  <c r="C27" i="36" l="1"/>
  <c r="C13" i="22" s="1"/>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<sst xmlns="http://schemas.openxmlformats.org/spreadsheetml/2006/main" count="832" uniqueCount="290">
  <si>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</si>
  <si>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</si>
  <si>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</si>
  <si>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</si>
  <si>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</si>
  <si>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</si>
  <si>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</si>
  <si>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</si>
  <si>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</si>
  <si>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</si>
  <si>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</si>
  <si>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</si>
  <si>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</si>
  <si>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</si>
  <si>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</si>
  <si>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</si>
  <si>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</si>
  <si>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</si>
  <si>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</si>
  <si>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</si>
  <si>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</si>
  <si>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</si>
  <si>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</si>
  <si>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</si>
  <si>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</si>
  <si>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</si>
  <si>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</si>
  <si>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</si>
  <si>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</si>
  <si>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</si>
  <si>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</si>
  <si>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</si>
  <si>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</si>
  <si>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</si>
  <si>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</si>
  <si>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</si>
  <si>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</si>
  <si>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</si>
  <si>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</si>
  <si>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</si>
  <si>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</si>
  <si>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</si>
  <si>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</si>
  <si>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</si>
  <si>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</si>
  <si>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</si>
  <si>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</si>
  <si>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</si>
  <si>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</si>
  <si>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</si>
  <si>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</si>
  <si>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</si>
  <si>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</si>
  <si>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</si>
  <si>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</si>
  <si>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</si>
  <si>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</si>
  <si>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</si>
  <si>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</si>
  <si>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</si>
  <si>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</si>
  <si>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</si>
  <si>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</si>
  <si>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</si>
  <si>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</si>
  <si>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</si>
  <si>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</si>
  <si>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</si>
  <si>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</si>
  <si>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</si>
  <si>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</si>
  <si>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</si>
  <si>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</si>
  <si>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</si>
  <si>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</si>
  <si>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</si>
  <si>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</si>
  <si>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</si>
  <si>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</si>
  <si>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</si>
  <si>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</si>
  <si>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</si>
  <si>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</si>
  <si>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</si>
  <si>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</si>
  <si>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</si>
  <si>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</si>
  <si>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</si>
  <si>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</si>
  <si>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</si>
  <si>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</si>
  <si>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</si>
  <si>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</si>
  <si>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</si>
  <si>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</si>
  <si>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</si>
  <si>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</si>
  <si>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</si>
  <si>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</si>
  <si>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</si>
  <si>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</si>
  <si>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</si>
  <si>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</si>
  <si>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</si>
  <si>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</si>
  <si>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</si>
  <si>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</si>
  <si>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</si>
  <si>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</si>
  <si>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</si>
  <si>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</si>
  <si>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</si>
  <si>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</si>
  <si>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</si>
  <si>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</si>
  <si>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</si>
  <si>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</si>
  <si>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</si>
  <si>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</si>
  <si>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</si>
  <si>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</si>
  <si>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</si>
  <si>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</si>
  <si>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</si>
  <si>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</si>
  <si>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</si>
  <si>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</si>
  <si>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</si>
  <si>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</si>
  <si>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</si>
  <si>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</si>
  <si>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</si>
  <si>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</si>
  <si>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</si>
  <si>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</si>
  <si>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</si>
  <si>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</si>
  <si>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</si>
  <si>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</si>
  <si>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</si>
  <si>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</si>
  <si>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</si>
  <si>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</si>
  <si>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</si>
  <si>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</si>
  <si>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</si>
  <si>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</si>
  <si>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</si>
  <si>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</si>
  <si>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</si>
  <si>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</si>
  <si>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</si>
  <si>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</si>
  <si>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</si>
  <si>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</si>
  <si>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</si>
  <si>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</si>
  <si>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</si>
  <si>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</si>
  <si>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</si>
  <si>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</si>
  <si>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</si>
  <si>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</si>
  <si>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</si>
  <si>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</si>
  <si>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</si>
  <si>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</si>
  <si>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</si>
  <si>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</si>
  <si>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</si>
  <si>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</si>
  <si>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</si>
  <si>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</si>
  <si>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</si>
  <si>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</si>
  <si>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</si>
  <si>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</si>
  <si>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</si>
  <si>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</si>
  <si>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</si>
  <si>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</si>
  <si>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</si>
  <si>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</si>
  <si>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</si>
  <si>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</si>
  <si>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</si>
  <si>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</si>
  <si>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</si>
  <si>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</si>
  <si>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</si>
  <si>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</si>
  <si>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</si>
  <si>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</si>
  <si>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</si>
  <si>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</si>
  <si>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</si>
  <si>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</si>
  <si>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</si>
  <si>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</si>
  <si>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</si>
  <si>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</si>
  <si>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</si>
  <si>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</si>
  <si>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</si>
  <si>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</si>
  <si>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</si>
  <si>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</si>
  <si>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</si>
  <si>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</si>
  <si>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</si>
  <si>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</si>
  <si>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</si>
  <si>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</si>
  <si>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</si>
  <si>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</si>
  <si>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</si>
  <si>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</si>
  <si>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</si>
  <si>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</si>
  <si>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</si>
  <si>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</si>
  <si>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</si>
  <si>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</si>
  <si>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</si>
  <si>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Anlæg til renset spildevand, Mek/EL</t>
  </si>
  <si>
    <t>Anlæg til renset spildevand, SRO</t>
  </si>
  <si>
    <t>Biosorption, Konstruktioner</t>
  </si>
  <si>
    <t>Biosorption, Mek/EL</t>
  </si>
  <si>
    <t>Biosorption, SRO</t>
  </si>
  <si>
    <t>Buffertank Bryggeri, Konstruktioner</t>
  </si>
  <si>
    <t>Buffertank Bryggeri, Mek/EL</t>
  </si>
  <si>
    <t>Buffertank Bryggeri, SRO</t>
  </si>
  <si>
    <t>Buffertank septisk slam, Konstruktioner</t>
  </si>
  <si>
    <t>Buffertank septisk slam, Mek/EL</t>
  </si>
  <si>
    <t>Buffertank septisk slam, SRO</t>
  </si>
  <si>
    <t>Homogeniseringstank, Konstruktioner</t>
  </si>
  <si>
    <t>Homogeniseringstank, Mek/EL</t>
  </si>
  <si>
    <t>Homogeniseringstank, SRO</t>
  </si>
  <si>
    <t>Modtagertanke Industri, KOD og Fedt, Konstruktioner</t>
  </si>
  <si>
    <t>Modtagertanke Industri, KOD og Fedt, Mek/EL</t>
  </si>
  <si>
    <t>Modtagertanke Industri, KOD og Fedt, SRO</t>
  </si>
  <si>
    <t>Overdækninger af tanke og lugtrensning, Konstruktioner</t>
  </si>
  <si>
    <t>Overdækninger af tanke og lugtrensning, Mek/EL</t>
  </si>
  <si>
    <t>Overdækninger af tanke og lugtrensning, SRO</t>
  </si>
  <si>
    <t>Rejektvandsbehandling, Konstruktioner</t>
  </si>
  <si>
    <t>Rejektvandsbehandling, Mek/el</t>
  </si>
  <si>
    <t>Rejektvandsbehandling, SRO</t>
  </si>
  <si>
    <t>Beluftningstanke, Konstruktioner</t>
  </si>
  <si>
    <t>Beluftningstanke, Mek/EL</t>
  </si>
  <si>
    <t>Beluftningstanke, SRO</t>
  </si>
  <si>
    <t>Efterklaringstanke, Konstruktioner</t>
  </si>
  <si>
    <t>Efterklaringstanke, Mek/El</t>
  </si>
  <si>
    <t>Efterklaringstanke, SRO</t>
  </si>
  <si>
    <t>Forafvanding, slam, Konstruktion</t>
  </si>
  <si>
    <t>Forafvanding, slam, Mek/EL</t>
  </si>
  <si>
    <t>Forafvanding, slam, SRO</t>
  </si>
  <si>
    <t>Forklaring, Konstruktioner</t>
  </si>
  <si>
    <t>Forklaring, Mek/EL</t>
  </si>
  <si>
    <t>Forklaring, SRO</t>
  </si>
  <si>
    <t>Gasdisponering - elproduktionsanlæg, Konstruktioner</t>
  </si>
  <si>
    <t>Gasdisponering - elproduktionsanlæg, Mek/EL</t>
  </si>
  <si>
    <t>Gasdisponering - elproduktionsanlæg, SRO</t>
  </si>
  <si>
    <t>Gasdisponering, Konstruktioner</t>
  </si>
  <si>
    <t>Gasdisponering, Mek/EL</t>
  </si>
  <si>
    <t>Gasdisponering, SRO</t>
  </si>
  <si>
    <t>Gasrensning - Aktivt kulfilter &lt;= 500 m3 biogas/t - Konstruktioner, Mek/El eller SRO</t>
  </si>
  <si>
    <t>Indløb med riste, Konstruktioner</t>
  </si>
  <si>
    <t>Indløb med riste, Mek/EL</t>
  </si>
  <si>
    <t>Indløb med riste, SRO</t>
  </si>
  <si>
    <t>Jordbassin Klasse A</t>
  </si>
  <si>
    <t>Mindre renseanlæg &lt; 5.000 PE uden mulighed for opdeling</t>
  </si>
  <si>
    <t>Rådnetanke, slam, Konstruktioner</t>
  </si>
  <si>
    <t>Rådnetanke, slam, Mek/EL</t>
  </si>
  <si>
    <t>Rådnetanke, slam, SRO</t>
  </si>
  <si>
    <t>Sand- og fedtfang, Kontruktioner</t>
  </si>
  <si>
    <t>Sand- og fedtfang, Mek/EL</t>
  </si>
  <si>
    <t>Sand- og fedtfang, SRO</t>
  </si>
  <si>
    <t>Slutdisponering, slam - højteknologisk (slamtørring), Konstruktioner</t>
  </si>
  <si>
    <t>Slutdisponering, slam - højteknologisk (slamtørring), Mek/EL</t>
  </si>
  <si>
    <t>Slutdisponering, slam - højteknologisk (slamtørring), SRO</t>
  </si>
  <si>
    <t>Varmeproduktionsanlæg &lt;= 500 m3 biogas/t - Konstruktioner, Mek/El eller SRO</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</si>
  <si>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</si>
  <si>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</si>
  <si>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</si>
  <si>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</si>
  <si>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</si>
  <si>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</si>
  <si>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</si>
  <si>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Gebyr til Miljøstyrelsen</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</si>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</sst>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49" fontId="8" fillId="8" borderId="1" xfId="0" applyNumberFormat="1" applyFont="1" applyFill="1" applyBorder="1" applyAlignment="1" applyProtection="1">
      <alignment horizontal="lef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8" width="0" style="2" hidden="1" customWidth="1"/>
    <col min="9"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97" t="s">
        <v>4</v>
      </c>
      <c r="D6" s="97"/>
      <c r="E6" s="97"/>
      <c r="F6" s="97"/>
      <c r="G6" s="3"/>
    </row>
    <row r="7" spans="1:7" ht="15" customHeight="1" x14ac:dyDescent="0.3">
      <c r="A7" s="1"/>
      <c r="B7" s="3"/>
      <c r="C7" s="97"/>
      <c r="D7" s="97"/>
      <c r="E7" s="97"/>
      <c r="F7" s="97"/>
      <c r="G7" s="3"/>
    </row>
    <row r="8" spans="1:7" ht="15.6" x14ac:dyDescent="0.3">
      <c r="A8" s="1"/>
      <c r="B8" s="4"/>
      <c r="C8" s="102" t="s">
        <v>284</v>
      </c>
      <c r="D8" s="102"/>
      <c r="E8" s="102"/>
      <c r="F8" s="102"/>
      <c r="G8" s="4"/>
    </row>
    <row r="9" spans="1:7" x14ac:dyDescent="0.3">
      <c r="A9" s="1"/>
      <c r="B9" s="5"/>
      <c r="C9" s="5"/>
      <c r="D9" s="5"/>
      <c r="E9" s="5"/>
      <c r="F9" s="5"/>
      <c r="G9" s="5"/>
    </row>
    <row r="10" spans="1:7" x14ac:dyDescent="0.3">
      <c r="A10" s="1"/>
      <c r="B10" s="5"/>
      <c r="C10" s="5"/>
      <c r="D10" s="5"/>
      <c r="E10" s="5"/>
      <c r="F10" s="5"/>
      <c r="G10" s="5"/>
    </row>
    <row r="11" spans="1:7" x14ac:dyDescent="0.3">
      <c r="A11" s="1"/>
      <c r="B11" s="5"/>
      <c r="C11" s="101" t="s">
        <v>5</v>
      </c>
      <c r="D11" s="101"/>
      <c r="E11" s="101"/>
      <c r="F11" s="101"/>
      <c r="G11" s="5"/>
    </row>
    <row r="12" spans="1:7" x14ac:dyDescent="0.3">
      <c r="A12" s="1"/>
      <c r="B12" s="1"/>
      <c r="C12" s="1"/>
      <c r="D12" s="1"/>
      <c r="E12" s="1"/>
      <c r="F12" s="1"/>
      <c r="G12" s="5"/>
    </row>
    <row r="13" spans="1:7" x14ac:dyDescent="0.3">
      <c r="A13" s="1"/>
      <c r="B13" s="6" t="s">
        <v>6</v>
      </c>
      <c r="C13" s="103" t="s">
        <v>127</v>
      </c>
      <c r="D13" s="104"/>
      <c r="E13" s="104"/>
      <c r="F13" s="105"/>
      <c r="G13" s="5"/>
    </row>
    <row r="14" spans="1:7" x14ac:dyDescent="0.3">
      <c r="A14" s="1"/>
      <c r="B14" s="6" t="s">
        <v>16</v>
      </c>
      <c r="C14" s="94" t="s">
        <v>186</v>
      </c>
      <c r="D14" s="95"/>
      <c r="E14" s="95"/>
      <c r="F14" s="96"/>
      <c r="G14" s="5"/>
    </row>
    <row r="15" spans="1:7" x14ac:dyDescent="0.3">
      <c r="A15" s="1"/>
      <c r="B15" s="6" t="s">
        <v>30</v>
      </c>
      <c r="C15" s="94" t="s">
        <v>149</v>
      </c>
      <c r="D15" s="95"/>
      <c r="E15" s="95"/>
      <c r="F15" s="96"/>
      <c r="G15" s="5"/>
    </row>
    <row r="16" spans="1:7" x14ac:dyDescent="0.3">
      <c r="A16" s="1"/>
      <c r="B16" s="6" t="s">
        <v>31</v>
      </c>
      <c r="C16" s="94" t="s">
        <v>151</v>
      </c>
      <c r="D16" s="95"/>
      <c r="E16" s="95"/>
      <c r="F16" s="96"/>
      <c r="G16" s="5"/>
    </row>
    <row r="17" spans="1:8" x14ac:dyDescent="0.3">
      <c r="A17" s="1"/>
      <c r="B17" s="6" t="s">
        <v>61</v>
      </c>
      <c r="C17" s="94" t="s">
        <v>152</v>
      </c>
      <c r="D17" s="95"/>
      <c r="E17" s="95"/>
      <c r="F17" s="96"/>
      <c r="G17" s="5"/>
    </row>
    <row r="18" spans="1:8" x14ac:dyDescent="0.3">
      <c r="A18" s="1"/>
      <c r="B18" s="6" t="s">
        <v>53</v>
      </c>
      <c r="C18" s="91" t="s">
        <v>45</v>
      </c>
      <c r="D18" s="92"/>
      <c r="E18" s="92"/>
      <c r="F18" s="93"/>
      <c r="G18" s="5"/>
    </row>
    <row r="19" spans="1:8" x14ac:dyDescent="0.3">
      <c r="A19" s="1"/>
      <c r="B19" s="6" t="s">
        <v>54</v>
      </c>
      <c r="C19" s="91" t="s">
        <v>46</v>
      </c>
      <c r="D19" s="92"/>
      <c r="E19" s="92"/>
      <c r="F19" s="93"/>
      <c r="G19" s="5"/>
    </row>
    <row r="20" spans="1:8" x14ac:dyDescent="0.3">
      <c r="A20" s="1"/>
      <c r="B20" s="6" t="s">
        <v>7</v>
      </c>
      <c r="C20" s="91" t="s">
        <v>10</v>
      </c>
      <c r="D20" s="92"/>
      <c r="E20" s="92"/>
      <c r="F20" s="93"/>
      <c r="G20" s="5"/>
    </row>
    <row r="21" spans="1:8" x14ac:dyDescent="0.3">
      <c r="A21" s="1"/>
      <c r="B21" s="6" t="s">
        <v>55</v>
      </c>
      <c r="C21" s="98" t="s">
        <v>12</v>
      </c>
      <c r="D21" s="99"/>
      <c r="E21" s="99"/>
      <c r="F21" s="100"/>
      <c r="G21" s="5"/>
    </row>
    <row r="22" spans="1:8" x14ac:dyDescent="0.3">
      <c r="A22" s="1"/>
      <c r="B22" s="6" t="s">
        <v>39</v>
      </c>
      <c r="C22" s="85" t="s">
        <v>153</v>
      </c>
      <c r="D22" s="86"/>
      <c r="E22" s="86"/>
      <c r="F22" s="87"/>
      <c r="G22" s="5"/>
    </row>
    <row r="23" spans="1:8" x14ac:dyDescent="0.3">
      <c r="A23" s="1"/>
      <c r="B23" s="6" t="s">
        <v>8</v>
      </c>
      <c r="C23" s="85" t="s">
        <v>112</v>
      </c>
      <c r="D23" s="86"/>
      <c r="E23" s="86"/>
      <c r="F23" s="87"/>
      <c r="G23" s="5"/>
    </row>
    <row r="24" spans="1:8" x14ac:dyDescent="0.3">
      <c r="A24" s="1"/>
      <c r="B24" s="6" t="s">
        <v>9</v>
      </c>
      <c r="C24" s="85" t="s">
        <v>154</v>
      </c>
      <c r="D24" s="86"/>
      <c r="E24" s="86"/>
      <c r="F24" s="87"/>
      <c r="G24" s="5"/>
    </row>
    <row r="25" spans="1:8" x14ac:dyDescent="0.3">
      <c r="A25" s="1"/>
      <c r="B25" s="6" t="s">
        <v>97</v>
      </c>
      <c r="C25" s="85" t="s">
        <v>91</v>
      </c>
      <c r="D25" s="86"/>
      <c r="E25" s="86"/>
      <c r="F25" s="87"/>
      <c r="G25" s="1"/>
    </row>
    <row r="26" spans="1:8" x14ac:dyDescent="0.3">
      <c r="A26" s="1"/>
      <c r="B26" s="6" t="s">
        <v>98</v>
      </c>
      <c r="C26" s="85" t="s">
        <v>40</v>
      </c>
      <c r="D26" s="86"/>
      <c r="E26" s="86"/>
      <c r="F26" s="87"/>
      <c r="G26" s="1"/>
    </row>
    <row r="27" spans="1:8" x14ac:dyDescent="0.3">
      <c r="A27" s="1"/>
      <c r="B27" s="6" t="s">
        <v>99</v>
      </c>
      <c r="C27" s="85" t="s">
        <v>41</v>
      </c>
      <c r="D27" s="86"/>
      <c r="E27" s="86"/>
      <c r="F27" s="87"/>
      <c r="G27" s="1"/>
    </row>
    <row r="28" spans="1:8" x14ac:dyDescent="0.3">
      <c r="A28" s="1"/>
      <c r="B28" s="6" t="s">
        <v>15</v>
      </c>
      <c r="C28" s="85" t="s">
        <v>42</v>
      </c>
      <c r="D28" s="86"/>
      <c r="E28" s="86"/>
      <c r="F28" s="87"/>
      <c r="G28" s="1"/>
      <c r="H28" s="2" t="s">
        <v>150</v>
      </c>
    </row>
    <row r="29" spans="1:8" x14ac:dyDescent="0.3">
      <c r="A29" s="1"/>
      <c r="B29" s="6" t="s">
        <v>33</v>
      </c>
      <c r="C29" s="85" t="s">
        <v>68</v>
      </c>
      <c r="D29" s="86"/>
      <c r="E29" s="86"/>
      <c r="F29" s="87"/>
      <c r="G29" s="1"/>
    </row>
    <row r="30" spans="1:8" x14ac:dyDescent="0.3">
      <c r="A30" s="1"/>
      <c r="B30" s="6" t="s">
        <v>34</v>
      </c>
      <c r="C30" s="85" t="s">
        <v>32</v>
      </c>
      <c r="D30" s="86"/>
      <c r="E30" s="86"/>
      <c r="F30" s="87"/>
      <c r="G30" s="1"/>
    </row>
    <row r="31" spans="1:8" x14ac:dyDescent="0.3">
      <c r="A31" s="1"/>
      <c r="B31" s="6" t="s">
        <v>100</v>
      </c>
      <c r="C31" s="88" t="s">
        <v>52</v>
      </c>
      <c r="D31" s="89"/>
      <c r="E31" s="89"/>
      <c r="F31" s="90"/>
      <c r="G31" s="1"/>
    </row>
    <row r="32" spans="1:8"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hidden="1" x14ac:dyDescent="0.3">
      <c r="A50" s="44"/>
      <c r="B50" s="44"/>
      <c r="C50" s="44"/>
      <c r="D50" s="44"/>
      <c r="E50" s="44"/>
      <c r="F50" s="44"/>
      <c r="G50" s="44"/>
    </row>
  </sheetData>
  <sheetProtection algorithmName="SHA-512" hashValue="vg31SdDYyxtbdTAlJSwbrTohbYwwC5lzsp0BhXgBWRnX/IpytmBtuZm+EWUZsJjWWFEKiQx0ejKnEZMkm7uMRQ==" saltValue="hvsUHLuwWQqfE8Uxdy2kW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58</v>
      </c>
      <c r="C3" s="106"/>
      <c r="D3" s="106"/>
      <c r="E3" s="1"/>
    </row>
    <row r="4" spans="1:5" ht="15" customHeight="1" x14ac:dyDescent="0.3">
      <c r="A4" s="1"/>
      <c r="B4" s="106"/>
      <c r="C4" s="106"/>
      <c r="D4" s="106"/>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10" t="s">
        <v>165</v>
      </c>
      <c r="C8" s="111"/>
      <c r="D8" s="112"/>
      <c r="E8" s="1"/>
    </row>
    <row r="9" spans="1:5" ht="15" customHeight="1" x14ac:dyDescent="0.3">
      <c r="A9" s="1"/>
      <c r="B9" s="27" t="s">
        <v>28</v>
      </c>
      <c r="C9" s="67" t="s">
        <v>166</v>
      </c>
      <c r="D9" s="11"/>
      <c r="E9" s="1"/>
    </row>
    <row r="10" spans="1:5" ht="15" customHeight="1" x14ac:dyDescent="0.3">
      <c r="A10" s="1"/>
      <c r="B10" s="73" t="s">
        <v>285</v>
      </c>
      <c r="C10" s="74">
        <v>740046</v>
      </c>
      <c r="D10" s="14" t="s">
        <v>3</v>
      </c>
      <c r="E10" s="1"/>
    </row>
    <row r="11" spans="1:5" ht="15" customHeight="1" x14ac:dyDescent="0.3">
      <c r="A11" s="1"/>
      <c r="B11" s="73" t="s">
        <v>286</v>
      </c>
      <c r="C11" s="74">
        <v>74789</v>
      </c>
      <c r="D11" s="14" t="s">
        <v>3</v>
      </c>
      <c r="E11" s="1"/>
    </row>
    <row r="12" spans="1:5" ht="26.4" x14ac:dyDescent="0.3">
      <c r="A12" s="1"/>
      <c r="B12" s="73" t="s">
        <v>287</v>
      </c>
      <c r="C12" s="74">
        <v>193236</v>
      </c>
      <c r="D12" s="14" t="s">
        <v>3</v>
      </c>
      <c r="E12" s="1"/>
    </row>
    <row r="13" spans="1:5" x14ac:dyDescent="0.3">
      <c r="A13" s="1"/>
      <c r="B13" s="73" t="s">
        <v>288</v>
      </c>
      <c r="C13" s="74">
        <v>20610</v>
      </c>
      <c r="D13" s="14" t="s">
        <v>3</v>
      </c>
      <c r="E13" s="1"/>
    </row>
    <row r="14" spans="1:5" x14ac:dyDescent="0.3">
      <c r="A14" s="1"/>
      <c r="B14" s="73"/>
      <c r="C14" s="74"/>
      <c r="D14" s="14" t="s">
        <v>3</v>
      </c>
      <c r="E14" s="1"/>
    </row>
    <row r="15" spans="1:5" x14ac:dyDescent="0.3">
      <c r="A15" s="1"/>
      <c r="B15" s="73"/>
      <c r="C15" s="74"/>
      <c r="D15" s="14" t="s">
        <v>3</v>
      </c>
      <c r="E15" s="1"/>
    </row>
    <row r="16" spans="1:5" x14ac:dyDescent="0.3">
      <c r="A16" s="1"/>
      <c r="B16" s="73"/>
      <c r="C16" s="74"/>
      <c r="D16" s="14" t="s">
        <v>3</v>
      </c>
      <c r="E16" s="1"/>
    </row>
    <row r="17" spans="1:5" x14ac:dyDescent="0.3">
      <c r="A17" s="1"/>
      <c r="B17" s="73"/>
      <c r="C17" s="74"/>
      <c r="D17" s="14" t="s">
        <v>3</v>
      </c>
      <c r="E17" s="1"/>
    </row>
    <row r="18" spans="1:5" x14ac:dyDescent="0.3">
      <c r="A18" s="1"/>
      <c r="B18" s="73"/>
      <c r="C18" s="74"/>
      <c r="D18" s="14" t="s">
        <v>3</v>
      </c>
      <c r="E18" s="1"/>
    </row>
    <row r="19" spans="1:5" x14ac:dyDescent="0.3">
      <c r="A19" s="1"/>
      <c r="B19" s="73"/>
      <c r="C19" s="74"/>
      <c r="D19" s="14" t="s">
        <v>3</v>
      </c>
      <c r="E19" s="1"/>
    </row>
    <row r="20" spans="1:5" x14ac:dyDescent="0.3">
      <c r="A20" s="1"/>
      <c r="B20" s="33" t="s">
        <v>167</v>
      </c>
      <c r="C20" s="12">
        <f>SUM(C10:C19)</f>
        <v>1028681</v>
      </c>
      <c r="D20" s="13" t="s">
        <v>3</v>
      </c>
      <c r="E20" s="1"/>
    </row>
    <row r="21" spans="1:5" x14ac:dyDescent="0.3">
      <c r="A21" s="1"/>
      <c r="B21" s="33" t="s">
        <v>168</v>
      </c>
      <c r="C21" s="12">
        <f>C20*(1+'Fane 15. Nøgletal'!C10)^2</f>
        <v>1169605.8633848899</v>
      </c>
      <c r="D21" s="13" t="s">
        <v>3</v>
      </c>
      <c r="E21" s="1"/>
    </row>
    <row r="22" spans="1:5" x14ac:dyDescent="0.3">
      <c r="A22" s="1"/>
      <c r="B22" s="16"/>
      <c r="C22" s="15"/>
      <c r="D22" s="15"/>
      <c r="E22" s="1"/>
    </row>
    <row r="23" spans="1:5" x14ac:dyDescent="0.3">
      <c r="A23" s="1"/>
      <c r="B23" s="16"/>
      <c r="C23" s="15"/>
      <c r="D23" s="15"/>
      <c r="E23" s="1"/>
    </row>
    <row r="24" spans="1:5" x14ac:dyDescent="0.3">
      <c r="A24" s="1"/>
      <c r="B24" s="110" t="s">
        <v>60</v>
      </c>
      <c r="C24" s="111"/>
      <c r="D24" s="112"/>
      <c r="E24" s="1"/>
    </row>
    <row r="25" spans="1:5" x14ac:dyDescent="0.3">
      <c r="A25" s="1"/>
      <c r="B25" s="37" t="s">
        <v>72</v>
      </c>
      <c r="C25" s="9"/>
      <c r="D25" s="14" t="s">
        <v>3</v>
      </c>
      <c r="E25" s="1"/>
    </row>
    <row r="26" spans="1:5" x14ac:dyDescent="0.3">
      <c r="A26" s="1"/>
      <c r="B26" s="37" t="s">
        <v>83</v>
      </c>
      <c r="C26" s="9"/>
      <c r="D26" s="14" t="s">
        <v>3</v>
      </c>
      <c r="E26" s="1"/>
    </row>
    <row r="27" spans="1:5" x14ac:dyDescent="0.3">
      <c r="A27" s="1"/>
      <c r="B27" s="37" t="s">
        <v>148</v>
      </c>
      <c r="C27" s="9"/>
      <c r="D27" s="14" t="s">
        <v>3</v>
      </c>
      <c r="E27" s="1"/>
    </row>
    <row r="28" spans="1:5" x14ac:dyDescent="0.3">
      <c r="A28" s="1"/>
      <c r="B28" s="34" t="s">
        <v>169</v>
      </c>
      <c r="C28" s="9"/>
      <c r="D28" s="36" t="s">
        <v>3</v>
      </c>
      <c r="E28" s="1"/>
    </row>
    <row r="29" spans="1:5" x14ac:dyDescent="0.3">
      <c r="A29" s="1"/>
      <c r="B29" s="110"/>
      <c r="C29" s="111"/>
      <c r="D29" s="112"/>
      <c r="E29" s="1"/>
    </row>
    <row r="30" spans="1:5" x14ac:dyDescent="0.3">
      <c r="A30" s="1"/>
      <c r="B30" s="1"/>
      <c r="C30" s="1"/>
      <c r="D30" s="1"/>
      <c r="E30" s="1"/>
    </row>
    <row r="31" spans="1:5" x14ac:dyDescent="0.3">
      <c r="A31" s="1"/>
      <c r="B31" s="1"/>
      <c r="C31" s="1"/>
      <c r="D31" s="1"/>
      <c r="E31" s="1"/>
    </row>
    <row r="32" spans="1:5" x14ac:dyDescent="0.3">
      <c r="A32" s="1"/>
      <c r="B32" s="110" t="s">
        <v>47</v>
      </c>
      <c r="C32" s="111"/>
      <c r="D32" s="112"/>
      <c r="E32" s="1"/>
    </row>
    <row r="33" spans="1:5" x14ac:dyDescent="0.3">
      <c r="A33" s="1"/>
      <c r="B33" s="37" t="s">
        <v>72</v>
      </c>
      <c r="C33" s="9"/>
      <c r="D33" s="14" t="s">
        <v>3</v>
      </c>
      <c r="E33" s="1"/>
    </row>
    <row r="34" spans="1:5" x14ac:dyDescent="0.3">
      <c r="A34" s="1"/>
      <c r="B34" s="37" t="s">
        <v>83</v>
      </c>
      <c r="C34" s="9"/>
      <c r="D34" s="14" t="s">
        <v>3</v>
      </c>
      <c r="E34" s="1"/>
    </row>
    <row r="35" spans="1:5" x14ac:dyDescent="0.3">
      <c r="A35" s="1"/>
      <c r="B35" s="37" t="s">
        <v>148</v>
      </c>
      <c r="C35" s="9"/>
      <c r="D35" s="14" t="s">
        <v>3</v>
      </c>
      <c r="E35" s="1"/>
    </row>
    <row r="36" spans="1:5" x14ac:dyDescent="0.3">
      <c r="A36" s="1"/>
      <c r="B36" s="34" t="s">
        <v>169</v>
      </c>
      <c r="C36" s="9"/>
      <c r="D36" s="36" t="s">
        <v>3</v>
      </c>
      <c r="E36" s="1"/>
    </row>
    <row r="37" spans="1:5" x14ac:dyDescent="0.3">
      <c r="A37" s="1"/>
      <c r="B37" s="110"/>
      <c r="C37" s="111"/>
      <c r="D37" s="112"/>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row r="56" spans="1:5" hidden="1" x14ac:dyDescent="0.3">
      <c r="A56" s="44"/>
      <c r="B56" s="44"/>
      <c r="C56" s="44"/>
      <c r="D56" s="44"/>
      <c r="E56" s="44"/>
    </row>
  </sheetData>
  <sheetProtection algorithmName="SHA-512" hashValue="LqQpZbIIjyZ6AORRcHgpPU1HhoOXN6VoqJkeVIPYV5f6nRlT10j1ped+jrPLXyFV97svR8GULYnJ1S1wG8mtvA==" saltValue="9e97KF8Kjac+czpkmTgFe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9" t="s">
        <v>201</v>
      </c>
      <c r="C3" s="109"/>
      <c r="D3" s="109"/>
      <c r="E3" s="1"/>
    </row>
    <row r="4" spans="1:5" ht="15" customHeight="1" x14ac:dyDescent="0.3">
      <c r="A4" s="1"/>
      <c r="B4" s="109"/>
      <c r="C4" s="109"/>
      <c r="D4" s="109"/>
      <c r="E4" s="1"/>
    </row>
    <row r="5" spans="1:5" ht="15" customHeight="1" x14ac:dyDescent="0.3">
      <c r="A5" s="1"/>
      <c r="B5" s="109"/>
      <c r="C5" s="109"/>
      <c r="D5" s="109"/>
      <c r="E5" s="1"/>
    </row>
    <row r="6" spans="1:5" ht="15" customHeight="1" x14ac:dyDescent="0.3">
      <c r="A6" s="1"/>
      <c r="B6" s="76"/>
      <c r="C6" s="76"/>
      <c r="D6" s="76"/>
      <c r="E6" s="1"/>
    </row>
    <row r="7" spans="1:5" x14ac:dyDescent="0.3">
      <c r="A7" s="1"/>
      <c r="B7" s="1"/>
      <c r="C7" s="1"/>
      <c r="D7" s="1"/>
      <c r="E7" s="1"/>
    </row>
    <row r="8" spans="1:5" x14ac:dyDescent="0.3">
      <c r="A8" s="1"/>
      <c r="B8" s="110" t="s">
        <v>77</v>
      </c>
      <c r="C8" s="111"/>
      <c r="D8" s="112"/>
      <c r="E8" s="1"/>
    </row>
    <row r="9" spans="1:5" x14ac:dyDescent="0.3">
      <c r="A9" s="1"/>
      <c r="B9" s="65" t="s">
        <v>204</v>
      </c>
      <c r="C9" s="9">
        <v>1656346.1958731934</v>
      </c>
      <c r="D9" s="14" t="s">
        <v>3</v>
      </c>
      <c r="E9" s="1"/>
    </row>
    <row r="10" spans="1:5" x14ac:dyDescent="0.3">
      <c r="A10" s="1"/>
      <c r="B10" s="33"/>
      <c r="C10" s="28"/>
      <c r="D10" s="19"/>
      <c r="E10" s="1"/>
    </row>
    <row r="11" spans="1:5" ht="53.25" customHeight="1" x14ac:dyDescent="0.3">
      <c r="A11" s="1"/>
      <c r="B11" s="121" t="s">
        <v>212</v>
      </c>
      <c r="C11" s="122"/>
      <c r="D11" s="123"/>
      <c r="E11" s="1"/>
    </row>
    <row r="12" spans="1:5" x14ac:dyDescent="0.3">
      <c r="A12" s="1"/>
      <c r="B12" s="1"/>
      <c r="C12" s="1"/>
      <c r="D12" s="1"/>
      <c r="E12" s="1"/>
    </row>
    <row r="13" spans="1:5" x14ac:dyDescent="0.3">
      <c r="A13" s="1"/>
      <c r="B13" s="110" t="s">
        <v>78</v>
      </c>
      <c r="C13" s="111"/>
      <c r="D13" s="112"/>
      <c r="E13" s="1"/>
    </row>
    <row r="14" spans="1:5" x14ac:dyDescent="0.3">
      <c r="A14" s="1"/>
      <c r="B14" s="65" t="s">
        <v>202</v>
      </c>
      <c r="C14" s="9">
        <v>0</v>
      </c>
      <c r="D14" s="14" t="s">
        <v>3</v>
      </c>
      <c r="E14" s="1"/>
    </row>
    <row r="15" spans="1:5" x14ac:dyDescent="0.3">
      <c r="A15" s="1"/>
      <c r="B15" s="65" t="s">
        <v>203</v>
      </c>
      <c r="C15" s="9">
        <v>0</v>
      </c>
      <c r="D15" s="14" t="s">
        <v>3</v>
      </c>
      <c r="E15" s="1"/>
    </row>
    <row r="16" spans="1:5" x14ac:dyDescent="0.3">
      <c r="A16" s="1"/>
      <c r="B16" s="33"/>
      <c r="C16" s="28"/>
      <c r="D16" s="19"/>
      <c r="E16" s="1"/>
    </row>
    <row r="17" spans="1:5" ht="29.25" customHeight="1" x14ac:dyDescent="0.3">
      <c r="A17" s="1"/>
      <c r="B17" s="121" t="s">
        <v>121</v>
      </c>
      <c r="C17" s="122"/>
      <c r="D17" s="123"/>
      <c r="E17" s="1"/>
    </row>
    <row r="18" spans="1:5" x14ac:dyDescent="0.3">
      <c r="A18" s="1"/>
      <c r="B18" s="1"/>
      <c r="C18" s="1"/>
      <c r="D18" s="1"/>
      <c r="E18" s="1"/>
    </row>
    <row r="19" spans="1:5" x14ac:dyDescent="0.3">
      <c r="A19" s="1"/>
      <c r="B19" s="77" t="s">
        <v>205</v>
      </c>
      <c r="C19" s="78"/>
      <c r="D19" s="79"/>
      <c r="E19" s="1"/>
    </row>
    <row r="20" spans="1:5" x14ac:dyDescent="0.3">
      <c r="A20" s="1"/>
      <c r="B20" s="65" t="s">
        <v>206</v>
      </c>
      <c r="C20" s="9">
        <v>22465519.826513909</v>
      </c>
      <c r="D20" s="14" t="s">
        <v>3</v>
      </c>
      <c r="E20" s="1"/>
    </row>
    <row r="21" spans="1:5" x14ac:dyDescent="0.3">
      <c r="A21" s="1"/>
      <c r="B21" s="65" t="s">
        <v>207</v>
      </c>
      <c r="C21" s="9">
        <v>20964560</v>
      </c>
      <c r="D21" s="14" t="s">
        <v>3</v>
      </c>
      <c r="E21" s="1"/>
    </row>
    <row r="22" spans="1:5" x14ac:dyDescent="0.3">
      <c r="A22" s="1"/>
      <c r="B22" s="65" t="s">
        <v>29</v>
      </c>
      <c r="C22" s="9">
        <v>0</v>
      </c>
      <c r="D22" s="14" t="s">
        <v>3</v>
      </c>
      <c r="E22" s="1"/>
    </row>
    <row r="23" spans="1:5" x14ac:dyDescent="0.3">
      <c r="A23" s="1"/>
      <c r="B23" s="83" t="s">
        <v>208</v>
      </c>
      <c r="C23" s="57">
        <f>C20-C21-C22</f>
        <v>1500959.8265139088</v>
      </c>
      <c r="D23" s="17" t="s">
        <v>3</v>
      </c>
      <c r="E23" s="1"/>
    </row>
    <row r="24" spans="1:5" x14ac:dyDescent="0.3">
      <c r="A24" s="1"/>
      <c r="B24" s="33"/>
      <c r="C24" s="28"/>
      <c r="D24" s="19"/>
      <c r="E24" s="1"/>
    </row>
    <row r="25" spans="1:5" x14ac:dyDescent="0.3">
      <c r="A25" s="1"/>
      <c r="B25" s="1"/>
      <c r="C25" s="1"/>
      <c r="D25" s="1"/>
      <c r="E25" s="1"/>
    </row>
    <row r="26" spans="1:5" x14ac:dyDescent="0.3">
      <c r="A26" s="1"/>
      <c r="B26" s="110" t="s">
        <v>209</v>
      </c>
      <c r="C26" s="111"/>
      <c r="D26" s="112"/>
      <c r="E26" s="1"/>
    </row>
    <row r="27" spans="1:5" x14ac:dyDescent="0.3">
      <c r="A27" s="1"/>
      <c r="B27" s="83" t="s">
        <v>210</v>
      </c>
      <c r="C27" s="57">
        <f>IF(AND(C15&lt;0,C23&gt;0,ABS(SUM(C14:C15))&lt;C23),ABS(C14),IF(AND(C15&lt;0,C23&gt;0,ABS(SUM(C14:C15))&gt;C23),SUM(C14,C23),C15))</f>
        <v>0</v>
      </c>
      <c r="D27" s="17" t="s">
        <v>3</v>
      </c>
      <c r="E27" s="1"/>
    </row>
    <row r="28" spans="1:5" x14ac:dyDescent="0.3">
      <c r="A28" s="1"/>
      <c r="B28" s="110"/>
      <c r="C28" s="111"/>
      <c r="D28" s="112"/>
      <c r="E28" s="1"/>
    </row>
    <row r="29" spans="1:5" x14ac:dyDescent="0.3">
      <c r="A29" s="1"/>
      <c r="B29" s="1"/>
      <c r="C29" s="1"/>
      <c r="D29" s="1"/>
      <c r="E29" s="1"/>
    </row>
    <row r="30" spans="1:5" x14ac:dyDescent="0.3">
      <c r="A30" s="1"/>
      <c r="B30" s="110" t="s">
        <v>211</v>
      </c>
      <c r="C30" s="111"/>
      <c r="D30" s="112"/>
      <c r="E30" s="1"/>
    </row>
    <row r="31" spans="1:5" x14ac:dyDescent="0.3">
      <c r="A31" s="1"/>
      <c r="B31" s="66" t="s">
        <v>69</v>
      </c>
      <c r="C31" s="58">
        <f>IF(AND(C9&gt;0,(C9+C23)&gt;0),0,IF(AND(C9&gt;0,(C9+C23)&lt;0),(C9+C23),IF(AND(C9&lt;0,C23&lt;0),C23,0)))</f>
        <v>0</v>
      </c>
      <c r="D31" s="14" t="s">
        <v>3</v>
      </c>
      <c r="E31" s="1"/>
    </row>
    <row r="32" spans="1:5" x14ac:dyDescent="0.3">
      <c r="A32" s="1"/>
      <c r="B32" s="66" t="s">
        <v>49</v>
      </c>
      <c r="C32" s="9">
        <v>2</v>
      </c>
      <c r="D32" s="14" t="s">
        <v>20</v>
      </c>
      <c r="E32" s="1"/>
    </row>
    <row r="33" spans="1:5" x14ac:dyDescent="0.3">
      <c r="A33" s="1"/>
      <c r="B33" s="67" t="s">
        <v>70</v>
      </c>
      <c r="C33" s="57">
        <f>C31/C32</f>
        <v>0</v>
      </c>
      <c r="D33" s="17" t="s">
        <v>3</v>
      </c>
      <c r="E33" s="1"/>
    </row>
    <row r="34" spans="1:5" x14ac:dyDescent="0.3">
      <c r="A34" s="1"/>
      <c r="B34" s="118"/>
      <c r="C34" s="119"/>
      <c r="D34" s="120"/>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hidden="1" x14ac:dyDescent="0.3">
      <c r="A46" s="44"/>
      <c r="B46" s="44"/>
      <c r="C46" s="44"/>
      <c r="D46" s="44"/>
      <c r="E46" s="44"/>
    </row>
    <row r="47" spans="1:5" hidden="1" x14ac:dyDescent="0.3">
      <c r="A47" s="44"/>
      <c r="B47" s="44"/>
      <c r="C47" s="44"/>
      <c r="D47" s="44"/>
      <c r="E47" s="44"/>
    </row>
    <row r="48" spans="1:5" hidden="1" x14ac:dyDescent="0.3">
      <c r="A48" s="44"/>
      <c r="B48" s="44"/>
      <c r="C48" s="44"/>
      <c r="D48" s="44"/>
      <c r="E48" s="44"/>
    </row>
    <row r="49" spans="1:5" hidden="1" x14ac:dyDescent="0.3">
      <c r="A49" s="44"/>
      <c r="B49" s="44"/>
      <c r="C49" s="44"/>
      <c r="D49" s="44"/>
      <c r="E49" s="44"/>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E53" s="44"/>
    </row>
  </sheetData>
  <sheetProtection algorithmName="SHA-512" hashValue="lNBlQs5c0qzDQ8bRE2wtA/S1pkv11i25TsUAuo3I2Y2Q3xToohMuUCDmI1rKX3qaCC3eOUeOYWHGMoPCcXJ1wA==" saltValue="hF/wCKPcJ3pqToIDnM4wg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4.4" zeroHeight="1" x14ac:dyDescent="0.3"/>
  <cols>
    <col min="1" max="1" width="5.33203125" style="56" customWidth="1"/>
    <col min="2" max="2" width="57.109375" style="56" customWidth="1"/>
    <col min="3" max="3" width="12.5546875" style="56" customWidth="1"/>
    <col min="4" max="4" width="3.109375" style="56" customWidth="1"/>
    <col min="5" max="5" width="5.33203125" style="56" customWidth="1"/>
    <col min="6" max="16384" width="9.109375" style="56" hidden="1"/>
  </cols>
  <sheetData>
    <row r="1" spans="1:5" x14ac:dyDescent="0.3">
      <c r="A1" s="1"/>
      <c r="B1" s="1"/>
      <c r="C1" s="1"/>
      <c r="D1" s="1"/>
      <c r="E1" s="1"/>
    </row>
    <row r="2" spans="1:5" x14ac:dyDescent="0.3">
      <c r="A2" s="1"/>
      <c r="B2" s="1"/>
      <c r="C2" s="1"/>
      <c r="D2" s="1"/>
      <c r="E2" s="1"/>
    </row>
    <row r="3" spans="1:5" ht="15" customHeight="1" x14ac:dyDescent="0.3">
      <c r="A3" s="1"/>
      <c r="B3" s="109" t="s">
        <v>101</v>
      </c>
      <c r="C3" s="109"/>
      <c r="D3" s="109"/>
      <c r="E3" s="1"/>
    </row>
    <row r="4" spans="1:5" ht="15" customHeight="1" x14ac:dyDescent="0.3">
      <c r="A4" s="1"/>
      <c r="B4" s="109"/>
      <c r="C4" s="109"/>
      <c r="D4" s="109"/>
      <c r="E4" s="1"/>
    </row>
    <row r="5" spans="1:5" x14ac:dyDescent="0.3">
      <c r="A5" s="1"/>
      <c r="B5" s="109"/>
      <c r="C5" s="109"/>
      <c r="D5" s="109"/>
      <c r="E5" s="1"/>
    </row>
    <row r="6" spans="1:5" x14ac:dyDescent="0.3">
      <c r="A6" s="1"/>
      <c r="B6" s="1"/>
      <c r="C6" s="1"/>
      <c r="D6" s="1"/>
      <c r="E6" s="1"/>
    </row>
    <row r="7" spans="1:5" x14ac:dyDescent="0.3">
      <c r="A7" s="1"/>
      <c r="B7" s="1"/>
      <c r="C7" s="1"/>
      <c r="D7" s="1"/>
      <c r="E7" s="1"/>
    </row>
    <row r="8" spans="1:5" x14ac:dyDescent="0.3">
      <c r="A8" s="1"/>
      <c r="B8" s="110" t="s">
        <v>120</v>
      </c>
      <c r="C8" s="111"/>
      <c r="D8" s="112"/>
      <c r="E8" s="1"/>
    </row>
    <row r="9" spans="1:5" ht="15" customHeight="1" x14ac:dyDescent="0.3">
      <c r="A9" s="1"/>
      <c r="B9" s="124" t="s">
        <v>102</v>
      </c>
      <c r="C9" s="125"/>
      <c r="D9" s="126"/>
      <c r="E9" s="1"/>
    </row>
    <row r="10" spans="1:5" x14ac:dyDescent="0.3">
      <c r="A10" s="1"/>
      <c r="B10" s="68" t="s">
        <v>103</v>
      </c>
      <c r="C10" s="9"/>
      <c r="D10" s="9" t="s">
        <v>3</v>
      </c>
      <c r="E10" s="1"/>
    </row>
    <row r="11" spans="1:5" x14ac:dyDescent="0.3">
      <c r="A11" s="1"/>
      <c r="B11" s="68" t="s">
        <v>104</v>
      </c>
      <c r="C11" s="9"/>
      <c r="D11" s="9" t="s">
        <v>3</v>
      </c>
      <c r="E11" s="1"/>
    </row>
    <row r="12" spans="1:5" x14ac:dyDescent="0.3">
      <c r="A12" s="1"/>
      <c r="B12" s="68" t="s">
        <v>105</v>
      </c>
      <c r="C12" s="9"/>
      <c r="D12" s="9" t="s">
        <v>3</v>
      </c>
      <c r="E12" s="1"/>
    </row>
    <row r="13" spans="1:5" x14ac:dyDescent="0.3">
      <c r="A13" s="1"/>
      <c r="B13" s="68" t="s">
        <v>106</v>
      </c>
      <c r="C13" s="9"/>
      <c r="D13" s="9" t="s">
        <v>3</v>
      </c>
      <c r="E13" s="1"/>
    </row>
    <row r="14" spans="1:5" x14ac:dyDescent="0.3">
      <c r="A14" s="1"/>
      <c r="B14" s="68" t="s">
        <v>107</v>
      </c>
      <c r="C14" s="9"/>
      <c r="D14" s="9" t="s">
        <v>3</v>
      </c>
      <c r="E14" s="1"/>
    </row>
    <row r="15" spans="1:5" x14ac:dyDescent="0.3">
      <c r="A15" s="1"/>
      <c r="B15" s="68" t="s">
        <v>108</v>
      </c>
      <c r="C15" s="9"/>
      <c r="D15" s="9" t="s">
        <v>3</v>
      </c>
      <c r="E15" s="1"/>
    </row>
    <row r="16" spans="1:5" x14ac:dyDescent="0.3">
      <c r="A16" s="1"/>
      <c r="B16" s="68" t="s">
        <v>109</v>
      </c>
      <c r="C16" s="9"/>
      <c r="D16" s="9" t="s">
        <v>3</v>
      </c>
      <c r="E16" s="1"/>
    </row>
    <row r="17" spans="1:5" x14ac:dyDescent="0.3">
      <c r="A17" s="1"/>
      <c r="B17" s="68" t="s">
        <v>110</v>
      </c>
      <c r="C17" s="9"/>
      <c r="D17" s="9" t="s">
        <v>3</v>
      </c>
      <c r="E17" s="1"/>
    </row>
    <row r="18" spans="1:5" x14ac:dyDescent="0.3">
      <c r="A18" s="1"/>
      <c r="B18" s="77" t="s">
        <v>111</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1WOtUPrHNkWUmVPeVKW8KFuDs1SCKN76f7bz9PXDovUcwCYi1vlfkbSNKO+bGLBEl4q/CjrTb6sXPN5JP3UtkA==" saltValue="S3pw6r6SBKmNF7U0/BQ6A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4.4" zeroHeight="1" x14ac:dyDescent="0.3"/>
  <cols>
    <col min="1" max="1" width="5.33203125" style="2" customWidth="1"/>
    <col min="2" max="2" width="55.664062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9" t="s">
        <v>170</v>
      </c>
      <c r="C3" s="109"/>
      <c r="D3" s="109"/>
      <c r="E3" s="1"/>
    </row>
    <row r="4" spans="1:5" ht="15" customHeight="1" x14ac:dyDescent="0.3">
      <c r="A4" s="1"/>
      <c r="B4" s="109"/>
      <c r="C4" s="109"/>
      <c r="D4" s="109"/>
      <c r="E4" s="1"/>
    </row>
    <row r="5" spans="1:5" x14ac:dyDescent="0.3">
      <c r="A5" s="1"/>
      <c r="B5" s="1"/>
      <c r="C5" s="1"/>
      <c r="D5" s="1"/>
      <c r="E5" s="1"/>
    </row>
    <row r="6" spans="1:5" x14ac:dyDescent="0.3">
      <c r="A6" s="1"/>
      <c r="B6" s="1"/>
      <c r="C6" s="1"/>
      <c r="D6" s="1"/>
      <c r="E6" s="1"/>
    </row>
    <row r="7" spans="1:5" x14ac:dyDescent="0.3">
      <c r="A7" s="1"/>
      <c r="B7" s="1"/>
      <c r="C7" s="1"/>
      <c r="D7" s="1"/>
      <c r="E7" s="1"/>
    </row>
    <row r="8" spans="1:5" ht="15" customHeight="1" x14ac:dyDescent="0.3">
      <c r="A8" s="1"/>
      <c r="B8" s="110" t="s">
        <v>171</v>
      </c>
      <c r="C8" s="111"/>
      <c r="D8" s="112"/>
      <c r="E8" s="1"/>
    </row>
    <row r="9" spans="1:5" ht="27" x14ac:dyDescent="0.3">
      <c r="A9" s="1"/>
      <c r="B9" s="80" t="s">
        <v>217</v>
      </c>
      <c r="C9" s="7">
        <v>0</v>
      </c>
      <c r="D9" s="8" t="s">
        <v>3</v>
      </c>
      <c r="E9" s="1"/>
    </row>
    <row r="10" spans="1:5" ht="14.25" customHeight="1" x14ac:dyDescent="0.3">
      <c r="A10" s="1"/>
      <c r="B10" s="65" t="s">
        <v>172</v>
      </c>
      <c r="C10" s="7">
        <v>0</v>
      </c>
      <c r="D10" s="8" t="s">
        <v>3</v>
      </c>
      <c r="E10" s="1"/>
    </row>
    <row r="11" spans="1:5" ht="14.25" customHeight="1" x14ac:dyDescent="0.3">
      <c r="A11" s="1"/>
      <c r="B11" s="83" t="s">
        <v>48</v>
      </c>
      <c r="C11" s="10">
        <f>C10-C9</f>
        <v>0</v>
      </c>
      <c r="D11" s="11" t="s">
        <v>3</v>
      </c>
      <c r="E11" s="1"/>
    </row>
    <row r="12" spans="1:5" ht="14.25" customHeight="1" x14ac:dyDescent="0.3">
      <c r="A12" s="1"/>
      <c r="B12" s="110" t="s">
        <v>219</v>
      </c>
      <c r="C12" s="111"/>
      <c r="D12" s="112"/>
      <c r="E12" s="1"/>
    </row>
    <row r="13" spans="1:5" ht="27" x14ac:dyDescent="0.3">
      <c r="A13" s="1"/>
      <c r="B13" s="80" t="s">
        <v>218</v>
      </c>
      <c r="C13" s="7">
        <v>0</v>
      </c>
      <c r="D13" s="8" t="s">
        <v>3</v>
      </c>
      <c r="E13" s="1"/>
    </row>
    <row r="14" spans="1:5" ht="14.25" customHeight="1" x14ac:dyDescent="0.3">
      <c r="A14" s="1"/>
      <c r="B14" s="65" t="s">
        <v>173</v>
      </c>
      <c r="C14" s="7">
        <v>0</v>
      </c>
      <c r="D14" s="8" t="s">
        <v>3</v>
      </c>
      <c r="E14" s="1"/>
    </row>
    <row r="15" spans="1:5" ht="14.25" customHeight="1" x14ac:dyDescent="0.3">
      <c r="A15" s="1"/>
      <c r="B15" s="83" t="s">
        <v>48</v>
      </c>
      <c r="C15" s="10">
        <f>C14-C13</f>
        <v>0</v>
      </c>
      <c r="D15" s="11" t="s">
        <v>3</v>
      </c>
      <c r="E15" s="1"/>
    </row>
    <row r="16" spans="1:5" ht="14.25" customHeight="1" x14ac:dyDescent="0.3">
      <c r="A16" s="1"/>
      <c r="B16" s="33" t="s">
        <v>174</v>
      </c>
      <c r="C16" s="12">
        <f>C11+C15</f>
        <v>0</v>
      </c>
      <c r="D16" s="13" t="s">
        <v>3</v>
      </c>
      <c r="E16" s="1"/>
    </row>
    <row r="17" spans="1:5" x14ac:dyDescent="0.3">
      <c r="A17" s="1"/>
      <c r="B17" s="1"/>
      <c r="C17" s="1"/>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sheetData>
  <sheetProtection algorithmName="SHA-512" hashValue="fH6tCbvLXqE1n2/fFxThIMsf8K5HnUFSdQs+1Zw5vGtEvc72tOF+nynOfSgCVCSLvJh9hJXjnbRq2tyKi7jEWg==" saltValue="v8h0SrT5FL1D0+tlyXX8U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165"/>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106" t="s">
        <v>113</v>
      </c>
      <c r="C3" s="106"/>
      <c r="D3" s="106"/>
      <c r="E3" s="106"/>
      <c r="F3" s="106"/>
      <c r="G3" s="106"/>
      <c r="H3" s="106"/>
      <c r="I3" s="106"/>
      <c r="J3" s="106"/>
      <c r="K3" s="106"/>
      <c r="L3" s="1"/>
    </row>
    <row r="4" spans="1:12" ht="15" customHeight="1" x14ac:dyDescent="0.3">
      <c r="A4" s="1"/>
      <c r="B4" s="106"/>
      <c r="C4" s="106"/>
      <c r="D4" s="106"/>
      <c r="E4" s="106"/>
      <c r="F4" s="106"/>
      <c r="G4" s="106"/>
      <c r="H4" s="106"/>
      <c r="I4" s="106"/>
      <c r="J4" s="106"/>
      <c r="K4" s="106"/>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110" t="s">
        <v>86</v>
      </c>
      <c r="C8" s="111"/>
      <c r="D8" s="111"/>
      <c r="E8" s="111"/>
      <c r="F8" s="111"/>
      <c r="G8" s="111"/>
      <c r="H8" s="111"/>
      <c r="I8" s="111"/>
      <c r="J8" s="111"/>
      <c r="K8" s="112"/>
      <c r="L8" s="1"/>
    </row>
    <row r="9" spans="1:12" ht="39.75" customHeight="1" x14ac:dyDescent="0.3">
      <c r="A9" s="1"/>
      <c r="B9" s="18" t="s">
        <v>0</v>
      </c>
      <c r="C9" s="18" t="s">
        <v>1</v>
      </c>
      <c r="D9" s="127" t="s">
        <v>96</v>
      </c>
      <c r="E9" s="128"/>
      <c r="F9" s="127" t="s">
        <v>2</v>
      </c>
      <c r="G9" s="128"/>
      <c r="H9" s="127" t="s">
        <v>95</v>
      </c>
      <c r="I9" s="128"/>
      <c r="J9" s="127" t="s">
        <v>26</v>
      </c>
      <c r="K9" s="128"/>
      <c r="L9" s="1"/>
    </row>
    <row r="10" spans="1:12" ht="27" x14ac:dyDescent="0.3">
      <c r="A10" s="1"/>
      <c r="B10" s="71" t="s">
        <v>224</v>
      </c>
      <c r="C10" s="42">
        <v>20</v>
      </c>
      <c r="D10" s="9">
        <v>142160</v>
      </c>
      <c r="E10" s="14" t="s">
        <v>3</v>
      </c>
      <c r="F10" s="9">
        <f>IFERROR(D10/C10,0)</f>
        <v>7108</v>
      </c>
      <c r="G10" s="14" t="s">
        <v>3</v>
      </c>
      <c r="H10" s="38">
        <v>0</v>
      </c>
      <c r="I10" s="14" t="s">
        <v>3</v>
      </c>
      <c r="J10" s="38">
        <v>0</v>
      </c>
      <c r="K10" s="14" t="s">
        <v>3</v>
      </c>
      <c r="L10" s="1"/>
    </row>
    <row r="11" spans="1:12" ht="27" x14ac:dyDescent="0.3">
      <c r="A11" s="1"/>
      <c r="B11" s="71" t="s">
        <v>225</v>
      </c>
      <c r="C11" s="42">
        <v>10</v>
      </c>
      <c r="D11" s="9">
        <v>5001</v>
      </c>
      <c r="E11" s="14" t="s">
        <v>3</v>
      </c>
      <c r="F11" s="9">
        <f t="shared" ref="F11:F66" si="0">IFERROR(D11/C11,0)</f>
        <v>500.1</v>
      </c>
      <c r="G11" s="14" t="s">
        <v>3</v>
      </c>
      <c r="H11" s="38">
        <v>0</v>
      </c>
      <c r="I11" s="14" t="s">
        <v>3</v>
      </c>
      <c r="J11" s="38">
        <v>0</v>
      </c>
      <c r="K11" s="14" t="s">
        <v>3</v>
      </c>
      <c r="L11" s="1"/>
    </row>
    <row r="12" spans="1:12" x14ac:dyDescent="0.3">
      <c r="A12" s="1"/>
      <c r="B12" s="71" t="s">
        <v>226</v>
      </c>
      <c r="C12" s="42">
        <v>60</v>
      </c>
      <c r="D12" s="9">
        <v>189152</v>
      </c>
      <c r="E12" s="14" t="s">
        <v>3</v>
      </c>
      <c r="F12" s="9">
        <f t="shared" si="0"/>
        <v>3152.5333333333333</v>
      </c>
      <c r="G12" s="14" t="s">
        <v>3</v>
      </c>
      <c r="H12" s="38">
        <v>0</v>
      </c>
      <c r="I12" s="14" t="s">
        <v>3</v>
      </c>
      <c r="J12" s="38">
        <v>0</v>
      </c>
      <c r="K12" s="14" t="s">
        <v>3</v>
      </c>
      <c r="L12" s="1"/>
    </row>
    <row r="13" spans="1:12" x14ac:dyDescent="0.3">
      <c r="A13" s="1"/>
      <c r="B13" s="71" t="s">
        <v>227</v>
      </c>
      <c r="C13" s="42">
        <v>20</v>
      </c>
      <c r="D13" s="9">
        <v>310250</v>
      </c>
      <c r="E13" s="14" t="s">
        <v>3</v>
      </c>
      <c r="F13" s="9">
        <f t="shared" si="0"/>
        <v>15512.5</v>
      </c>
      <c r="G13" s="14" t="s">
        <v>3</v>
      </c>
      <c r="H13" s="38">
        <v>0</v>
      </c>
      <c r="I13" s="14" t="s">
        <v>3</v>
      </c>
      <c r="J13" s="38">
        <v>0</v>
      </c>
      <c r="K13" s="14" t="s">
        <v>3</v>
      </c>
      <c r="L13" s="1"/>
    </row>
    <row r="14" spans="1:12" x14ac:dyDescent="0.3">
      <c r="A14" s="1"/>
      <c r="B14" s="71" t="s">
        <v>228</v>
      </c>
      <c r="C14" s="42">
        <v>10</v>
      </c>
      <c r="D14" s="9">
        <v>10914</v>
      </c>
      <c r="E14" s="14" t="s">
        <v>3</v>
      </c>
      <c r="F14" s="9">
        <f t="shared" si="0"/>
        <v>1091.4000000000001</v>
      </c>
      <c r="G14" s="14" t="s">
        <v>3</v>
      </c>
      <c r="H14" s="38">
        <v>0</v>
      </c>
      <c r="I14" s="14" t="s">
        <v>3</v>
      </c>
      <c r="J14" s="38">
        <v>0</v>
      </c>
      <c r="K14" s="14" t="s">
        <v>3</v>
      </c>
      <c r="L14" s="1"/>
    </row>
    <row r="15" spans="1:12" ht="27" x14ac:dyDescent="0.3">
      <c r="A15" s="1"/>
      <c r="B15" s="71" t="s">
        <v>229</v>
      </c>
      <c r="C15" s="42">
        <v>60</v>
      </c>
      <c r="D15" s="9">
        <v>140740</v>
      </c>
      <c r="E15" s="14" t="s">
        <v>3</v>
      </c>
      <c r="F15" s="9">
        <f t="shared" si="0"/>
        <v>2345.6666666666665</v>
      </c>
      <c r="G15" s="14" t="s">
        <v>3</v>
      </c>
      <c r="H15" s="38">
        <v>0</v>
      </c>
      <c r="I15" s="14" t="s">
        <v>3</v>
      </c>
      <c r="J15" s="38">
        <v>0</v>
      </c>
      <c r="K15" s="14" t="s">
        <v>3</v>
      </c>
      <c r="L15" s="1"/>
    </row>
    <row r="16" spans="1:12" x14ac:dyDescent="0.3">
      <c r="A16" s="1"/>
      <c r="B16" s="71" t="s">
        <v>230</v>
      </c>
      <c r="C16" s="42">
        <v>20</v>
      </c>
      <c r="D16" s="9">
        <v>231227</v>
      </c>
      <c r="E16" s="14" t="s">
        <v>3</v>
      </c>
      <c r="F16" s="9">
        <f t="shared" si="0"/>
        <v>11561.35</v>
      </c>
      <c r="G16" s="14" t="s">
        <v>3</v>
      </c>
      <c r="H16" s="38">
        <v>0</v>
      </c>
      <c r="I16" s="14" t="s">
        <v>3</v>
      </c>
      <c r="J16" s="38">
        <v>0</v>
      </c>
      <c r="K16" s="14" t="s">
        <v>3</v>
      </c>
      <c r="L16" s="1"/>
    </row>
    <row r="17" spans="1:12" x14ac:dyDescent="0.3">
      <c r="A17" s="1"/>
      <c r="B17" s="71" t="s">
        <v>231</v>
      </c>
      <c r="C17" s="42">
        <v>10</v>
      </c>
      <c r="D17" s="9">
        <v>8134</v>
      </c>
      <c r="E17" s="14" t="s">
        <v>3</v>
      </c>
      <c r="F17" s="9">
        <f t="shared" si="0"/>
        <v>813.4</v>
      </c>
      <c r="G17" s="14" t="s">
        <v>3</v>
      </c>
      <c r="H17" s="38">
        <v>0</v>
      </c>
      <c r="I17" s="14" t="s">
        <v>3</v>
      </c>
      <c r="J17" s="38">
        <v>0</v>
      </c>
      <c r="K17" s="14" t="s">
        <v>3</v>
      </c>
      <c r="L17" s="1"/>
    </row>
    <row r="18" spans="1:12" ht="27" x14ac:dyDescent="0.3">
      <c r="A18" s="1"/>
      <c r="B18" s="71" t="s">
        <v>232</v>
      </c>
      <c r="C18" s="42">
        <v>60</v>
      </c>
      <c r="D18" s="9">
        <v>95694</v>
      </c>
      <c r="E18" s="14" t="s">
        <v>3</v>
      </c>
      <c r="F18" s="9">
        <f t="shared" si="0"/>
        <v>1594.9</v>
      </c>
      <c r="G18" s="14" t="s">
        <v>3</v>
      </c>
      <c r="H18" s="38">
        <v>0</v>
      </c>
      <c r="I18" s="14" t="s">
        <v>3</v>
      </c>
      <c r="J18" s="38">
        <v>0</v>
      </c>
      <c r="K18" s="14" t="s">
        <v>3</v>
      </c>
      <c r="L18" s="1"/>
    </row>
    <row r="19" spans="1:12" ht="27" x14ac:dyDescent="0.3">
      <c r="A19" s="1"/>
      <c r="B19" s="71" t="s">
        <v>233</v>
      </c>
      <c r="C19" s="42">
        <v>20</v>
      </c>
      <c r="D19" s="9">
        <v>37817</v>
      </c>
      <c r="E19" s="14" t="s">
        <v>3</v>
      </c>
      <c r="F19" s="9">
        <f t="shared" si="0"/>
        <v>1890.85</v>
      </c>
      <c r="G19" s="14" t="s">
        <v>3</v>
      </c>
      <c r="H19" s="38">
        <v>0</v>
      </c>
      <c r="I19" s="14" t="s">
        <v>3</v>
      </c>
      <c r="J19" s="38">
        <v>0</v>
      </c>
      <c r="K19" s="14" t="s">
        <v>3</v>
      </c>
      <c r="L19" s="1"/>
    </row>
    <row r="20" spans="1:12" x14ac:dyDescent="0.3">
      <c r="A20" s="1"/>
      <c r="B20" s="71" t="s">
        <v>234</v>
      </c>
      <c r="C20" s="42">
        <v>10</v>
      </c>
      <c r="D20" s="9">
        <v>1330</v>
      </c>
      <c r="E20" s="14" t="s">
        <v>3</v>
      </c>
      <c r="F20" s="9">
        <f t="shared" si="0"/>
        <v>133</v>
      </c>
      <c r="G20" s="14" t="s">
        <v>3</v>
      </c>
      <c r="H20" s="38">
        <v>0</v>
      </c>
      <c r="I20" s="14" t="s">
        <v>3</v>
      </c>
      <c r="J20" s="38">
        <v>0</v>
      </c>
      <c r="K20" s="14" t="s">
        <v>3</v>
      </c>
      <c r="L20" s="1"/>
    </row>
    <row r="21" spans="1:12" ht="27" x14ac:dyDescent="0.3">
      <c r="A21" s="1"/>
      <c r="B21" s="71" t="s">
        <v>235</v>
      </c>
      <c r="C21" s="42">
        <v>60</v>
      </c>
      <c r="D21" s="9">
        <v>70246</v>
      </c>
      <c r="E21" s="14" t="s">
        <v>3</v>
      </c>
      <c r="F21" s="9">
        <f t="shared" si="0"/>
        <v>1170.7666666666667</v>
      </c>
      <c r="G21" s="14" t="s">
        <v>3</v>
      </c>
      <c r="H21" s="38">
        <v>0</v>
      </c>
      <c r="I21" s="14" t="s">
        <v>3</v>
      </c>
      <c r="J21" s="38">
        <v>0</v>
      </c>
      <c r="K21" s="14" t="s">
        <v>3</v>
      </c>
      <c r="L21" s="1"/>
    </row>
    <row r="22" spans="1:12" ht="27" x14ac:dyDescent="0.3">
      <c r="A22" s="1"/>
      <c r="B22" s="71" t="s">
        <v>236</v>
      </c>
      <c r="C22" s="42">
        <v>20</v>
      </c>
      <c r="D22" s="9">
        <v>55791</v>
      </c>
      <c r="E22" s="14" t="s">
        <v>3</v>
      </c>
      <c r="F22" s="9">
        <f t="shared" si="0"/>
        <v>2789.55</v>
      </c>
      <c r="G22" s="14" t="s">
        <v>3</v>
      </c>
      <c r="H22" s="38">
        <v>0</v>
      </c>
      <c r="I22" s="14" t="s">
        <v>3</v>
      </c>
      <c r="J22" s="38">
        <v>0</v>
      </c>
      <c r="K22" s="14" t="s">
        <v>3</v>
      </c>
      <c r="L22" s="1"/>
    </row>
    <row r="23" spans="1:12" x14ac:dyDescent="0.3">
      <c r="A23" s="1"/>
      <c r="B23" s="71" t="s">
        <v>237</v>
      </c>
      <c r="C23" s="42">
        <v>10</v>
      </c>
      <c r="D23" s="9">
        <v>1963</v>
      </c>
      <c r="E23" s="14" t="s">
        <v>3</v>
      </c>
      <c r="F23" s="9">
        <f t="shared" si="0"/>
        <v>196.3</v>
      </c>
      <c r="G23" s="14" t="s">
        <v>3</v>
      </c>
      <c r="H23" s="38">
        <v>0</v>
      </c>
      <c r="I23" s="14" t="s">
        <v>3</v>
      </c>
      <c r="J23" s="38">
        <v>0</v>
      </c>
      <c r="K23" s="14" t="s">
        <v>3</v>
      </c>
      <c r="L23" s="1"/>
    </row>
    <row r="24" spans="1:12" ht="27.75" customHeight="1" x14ac:dyDescent="0.3">
      <c r="A24" s="1"/>
      <c r="B24" s="71" t="s">
        <v>238</v>
      </c>
      <c r="C24" s="42">
        <v>60</v>
      </c>
      <c r="D24" s="9">
        <v>331186</v>
      </c>
      <c r="E24" s="14" t="s">
        <v>3</v>
      </c>
      <c r="F24" s="9">
        <f t="shared" si="0"/>
        <v>5519.7666666666664</v>
      </c>
      <c r="G24" s="14" t="s">
        <v>3</v>
      </c>
      <c r="H24" s="38">
        <v>0</v>
      </c>
      <c r="I24" s="14" t="s">
        <v>3</v>
      </c>
      <c r="J24" s="38">
        <v>0</v>
      </c>
      <c r="K24" s="14" t="s">
        <v>3</v>
      </c>
      <c r="L24" s="1"/>
    </row>
    <row r="25" spans="1:12" ht="27" x14ac:dyDescent="0.3">
      <c r="A25" s="1"/>
      <c r="B25" s="71" t="s">
        <v>239</v>
      </c>
      <c r="C25" s="42">
        <v>20</v>
      </c>
      <c r="D25" s="9">
        <v>119538</v>
      </c>
      <c r="E25" s="14" t="s">
        <v>3</v>
      </c>
      <c r="F25" s="9">
        <f t="shared" si="0"/>
        <v>5976.9</v>
      </c>
      <c r="G25" s="14" t="s">
        <v>3</v>
      </c>
      <c r="H25" s="38">
        <v>0</v>
      </c>
      <c r="I25" s="14" t="s">
        <v>3</v>
      </c>
      <c r="J25" s="38">
        <v>0</v>
      </c>
      <c r="K25" s="14" t="s">
        <v>3</v>
      </c>
      <c r="L25" s="1"/>
    </row>
    <row r="26" spans="1:12" ht="27" x14ac:dyDescent="0.3">
      <c r="A26" s="1"/>
      <c r="B26" s="71" t="s">
        <v>240</v>
      </c>
      <c r="C26" s="42">
        <v>10</v>
      </c>
      <c r="D26" s="9">
        <v>4205</v>
      </c>
      <c r="E26" s="14" t="s">
        <v>3</v>
      </c>
      <c r="F26" s="9">
        <f t="shared" si="0"/>
        <v>420.5</v>
      </c>
      <c r="G26" s="14" t="s">
        <v>3</v>
      </c>
      <c r="H26" s="38">
        <v>0</v>
      </c>
      <c r="I26" s="14" t="s">
        <v>3</v>
      </c>
      <c r="J26" s="38">
        <v>0</v>
      </c>
      <c r="K26" s="14" t="s">
        <v>3</v>
      </c>
      <c r="L26" s="1"/>
    </row>
    <row r="27" spans="1:12" ht="27" x14ac:dyDescent="0.3">
      <c r="A27" s="1"/>
      <c r="B27" s="71" t="s">
        <v>241</v>
      </c>
      <c r="C27" s="42">
        <v>60</v>
      </c>
      <c r="D27" s="9">
        <v>1364208</v>
      </c>
      <c r="E27" s="14" t="s">
        <v>3</v>
      </c>
      <c r="F27" s="9">
        <f t="shared" si="0"/>
        <v>22736.799999999999</v>
      </c>
      <c r="G27" s="14" t="s">
        <v>3</v>
      </c>
      <c r="H27" s="38">
        <v>0</v>
      </c>
      <c r="I27" s="14" t="s">
        <v>3</v>
      </c>
      <c r="J27" s="38">
        <v>0</v>
      </c>
      <c r="K27" s="14" t="s">
        <v>3</v>
      </c>
      <c r="L27" s="1"/>
    </row>
    <row r="28" spans="1:12" ht="27" x14ac:dyDescent="0.3">
      <c r="A28" s="1"/>
      <c r="B28" s="71" t="s">
        <v>242</v>
      </c>
      <c r="C28" s="42">
        <v>20</v>
      </c>
      <c r="D28" s="9">
        <v>407939</v>
      </c>
      <c r="E28" s="14" t="s">
        <v>3</v>
      </c>
      <c r="F28" s="9">
        <f t="shared" si="0"/>
        <v>20396.95</v>
      </c>
      <c r="G28" s="14" t="s">
        <v>3</v>
      </c>
      <c r="H28" s="38">
        <v>0</v>
      </c>
      <c r="I28" s="14" t="s">
        <v>3</v>
      </c>
      <c r="J28" s="38">
        <v>0</v>
      </c>
      <c r="K28" s="14" t="s">
        <v>3</v>
      </c>
      <c r="L28" s="1"/>
    </row>
    <row r="29" spans="1:12" ht="27" x14ac:dyDescent="0.3">
      <c r="A29" s="1"/>
      <c r="B29" s="71" t="s">
        <v>243</v>
      </c>
      <c r="C29" s="42">
        <v>10</v>
      </c>
      <c r="D29" s="9">
        <v>14350</v>
      </c>
      <c r="E29" s="14" t="s">
        <v>3</v>
      </c>
      <c r="F29" s="9">
        <f t="shared" si="0"/>
        <v>1435</v>
      </c>
      <c r="G29" s="14" t="s">
        <v>3</v>
      </c>
      <c r="H29" s="38">
        <v>0</v>
      </c>
      <c r="I29" s="14" t="s">
        <v>3</v>
      </c>
      <c r="J29" s="38">
        <v>0</v>
      </c>
      <c r="K29" s="14" t="s">
        <v>3</v>
      </c>
      <c r="L29" s="1"/>
    </row>
    <row r="30" spans="1:12" ht="27" x14ac:dyDescent="0.3">
      <c r="A30" s="1"/>
      <c r="B30" s="71" t="s">
        <v>244</v>
      </c>
      <c r="C30" s="42">
        <v>60</v>
      </c>
      <c r="D30" s="9">
        <v>169601</v>
      </c>
      <c r="E30" s="14" t="s">
        <v>3</v>
      </c>
      <c r="F30" s="9">
        <f t="shared" si="0"/>
        <v>2826.6833333333334</v>
      </c>
      <c r="G30" s="14" t="s">
        <v>3</v>
      </c>
      <c r="H30" s="38">
        <v>0</v>
      </c>
      <c r="I30" s="14" t="s">
        <v>3</v>
      </c>
      <c r="J30" s="38">
        <v>0</v>
      </c>
      <c r="K30" s="14" t="s">
        <v>3</v>
      </c>
      <c r="L30" s="1"/>
    </row>
    <row r="31" spans="1:12" ht="27" x14ac:dyDescent="0.3">
      <c r="A31" s="1"/>
      <c r="B31" s="71" t="s">
        <v>245</v>
      </c>
      <c r="C31" s="42">
        <v>20</v>
      </c>
      <c r="D31" s="9">
        <v>273949</v>
      </c>
      <c r="E31" s="14" t="s">
        <v>3</v>
      </c>
      <c r="F31" s="9">
        <f t="shared" si="0"/>
        <v>13697.45</v>
      </c>
      <c r="G31" s="14" t="s">
        <v>3</v>
      </c>
      <c r="H31" s="38">
        <v>0</v>
      </c>
      <c r="I31" s="14" t="s">
        <v>3</v>
      </c>
      <c r="J31" s="38">
        <v>0</v>
      </c>
      <c r="K31" s="14" t="s">
        <v>3</v>
      </c>
      <c r="L31" s="1"/>
    </row>
    <row r="32" spans="1:12" ht="17.25" customHeight="1" x14ac:dyDescent="0.3">
      <c r="A32" s="1"/>
      <c r="B32" s="71" t="s">
        <v>246</v>
      </c>
      <c r="C32" s="42">
        <v>10</v>
      </c>
      <c r="D32" s="9">
        <v>9637</v>
      </c>
      <c r="E32" s="14" t="s">
        <v>3</v>
      </c>
      <c r="F32" s="9">
        <f t="shared" si="0"/>
        <v>963.7</v>
      </c>
      <c r="G32" s="14" t="s">
        <v>3</v>
      </c>
      <c r="H32" s="38">
        <v>0</v>
      </c>
      <c r="I32" s="14" t="s">
        <v>3</v>
      </c>
      <c r="J32" s="38">
        <v>0</v>
      </c>
      <c r="K32" s="14" t="s">
        <v>3</v>
      </c>
      <c r="L32" s="1"/>
    </row>
    <row r="33" spans="1:12" ht="27" x14ac:dyDescent="0.3">
      <c r="A33" s="1"/>
      <c r="B33" s="71" t="s">
        <v>247</v>
      </c>
      <c r="C33" s="42">
        <v>60</v>
      </c>
      <c r="D33" s="9">
        <v>914025</v>
      </c>
      <c r="E33" s="14" t="s">
        <v>3</v>
      </c>
      <c r="F33" s="9">
        <f t="shared" si="0"/>
        <v>15233.75</v>
      </c>
      <c r="G33" s="14" t="s">
        <v>3</v>
      </c>
      <c r="H33" s="38">
        <v>0</v>
      </c>
      <c r="I33" s="14" t="s">
        <v>3</v>
      </c>
      <c r="J33" s="38">
        <v>0</v>
      </c>
      <c r="K33" s="14" t="s">
        <v>3</v>
      </c>
      <c r="L33" s="1"/>
    </row>
    <row r="34" spans="1:12" x14ac:dyDescent="0.3">
      <c r="A34" s="1"/>
      <c r="B34" s="71" t="s">
        <v>248</v>
      </c>
      <c r="C34" s="42">
        <v>20</v>
      </c>
      <c r="D34" s="9">
        <v>1004016</v>
      </c>
      <c r="E34" s="14" t="s">
        <v>3</v>
      </c>
      <c r="F34" s="9">
        <f t="shared" si="0"/>
        <v>50200.800000000003</v>
      </c>
      <c r="G34" s="14" t="s">
        <v>3</v>
      </c>
      <c r="H34" s="38">
        <v>0</v>
      </c>
      <c r="I34" s="14" t="s">
        <v>3</v>
      </c>
      <c r="J34" s="38">
        <v>0</v>
      </c>
      <c r="K34" s="14" t="s">
        <v>3</v>
      </c>
      <c r="L34" s="1"/>
    </row>
    <row r="35" spans="1:12" x14ac:dyDescent="0.3">
      <c r="A35" s="1"/>
      <c r="B35" s="71" t="s">
        <v>249</v>
      </c>
      <c r="C35" s="42">
        <v>10</v>
      </c>
      <c r="D35" s="9">
        <v>35318</v>
      </c>
      <c r="E35" s="14" t="s">
        <v>3</v>
      </c>
      <c r="F35" s="9">
        <f t="shared" si="0"/>
        <v>3531.8</v>
      </c>
      <c r="G35" s="14" t="s">
        <v>3</v>
      </c>
      <c r="H35" s="38">
        <v>0</v>
      </c>
      <c r="I35" s="14" t="s">
        <v>3</v>
      </c>
      <c r="J35" s="38">
        <v>0</v>
      </c>
      <c r="K35" s="14" t="s">
        <v>3</v>
      </c>
      <c r="L35" s="1"/>
    </row>
    <row r="36" spans="1:12" ht="27" x14ac:dyDescent="0.3">
      <c r="A36" s="1"/>
      <c r="B36" s="71" t="s">
        <v>250</v>
      </c>
      <c r="C36" s="42">
        <v>60</v>
      </c>
      <c r="D36" s="9">
        <v>512300</v>
      </c>
      <c r="E36" s="14" t="s">
        <v>3</v>
      </c>
      <c r="F36" s="9">
        <f t="shared" si="0"/>
        <v>8538.3333333333339</v>
      </c>
      <c r="G36" s="14" t="s">
        <v>3</v>
      </c>
      <c r="H36" s="38">
        <v>0</v>
      </c>
      <c r="I36" s="14" t="s">
        <v>3</v>
      </c>
      <c r="J36" s="38">
        <v>0</v>
      </c>
      <c r="K36" s="14" t="s">
        <v>3</v>
      </c>
      <c r="L36" s="1"/>
    </row>
    <row r="37" spans="1:12" x14ac:dyDescent="0.3">
      <c r="A37" s="1"/>
      <c r="B37" s="71" t="s">
        <v>251</v>
      </c>
      <c r="C37" s="42">
        <v>20</v>
      </c>
      <c r="D37" s="9">
        <v>270652</v>
      </c>
      <c r="E37" s="14" t="s">
        <v>3</v>
      </c>
      <c r="F37" s="9">
        <f t="shared" si="0"/>
        <v>13532.6</v>
      </c>
      <c r="G37" s="14" t="s">
        <v>3</v>
      </c>
      <c r="H37" s="38">
        <v>0</v>
      </c>
      <c r="I37" s="14" t="s">
        <v>3</v>
      </c>
      <c r="J37" s="38">
        <v>0</v>
      </c>
      <c r="K37" s="14" t="s">
        <v>3</v>
      </c>
      <c r="L37" s="1"/>
    </row>
    <row r="38" spans="1:12" x14ac:dyDescent="0.3">
      <c r="A38" s="1"/>
      <c r="B38" s="71" t="s">
        <v>252</v>
      </c>
      <c r="C38" s="42">
        <v>10</v>
      </c>
      <c r="D38" s="9">
        <v>9521</v>
      </c>
      <c r="E38" s="14" t="s">
        <v>3</v>
      </c>
      <c r="F38" s="9">
        <f t="shared" si="0"/>
        <v>952.1</v>
      </c>
      <c r="G38" s="14" t="s">
        <v>3</v>
      </c>
      <c r="H38" s="38">
        <v>0</v>
      </c>
      <c r="I38" s="14" t="s">
        <v>3</v>
      </c>
      <c r="J38" s="38">
        <v>0</v>
      </c>
      <c r="K38" s="14" t="s">
        <v>3</v>
      </c>
      <c r="L38" s="1"/>
    </row>
    <row r="39" spans="1:12" ht="27" x14ac:dyDescent="0.3">
      <c r="A39" s="1"/>
      <c r="B39" s="71" t="s">
        <v>253</v>
      </c>
      <c r="C39" s="42">
        <v>60</v>
      </c>
      <c r="D39" s="9">
        <v>186793</v>
      </c>
      <c r="E39" s="14" t="s">
        <v>3</v>
      </c>
      <c r="F39" s="9">
        <f t="shared" si="0"/>
        <v>3113.2166666666667</v>
      </c>
      <c r="G39" s="14" t="s">
        <v>3</v>
      </c>
      <c r="H39" s="38">
        <v>0</v>
      </c>
      <c r="I39" s="14" t="s">
        <v>3</v>
      </c>
      <c r="J39" s="38">
        <v>0</v>
      </c>
      <c r="K39" s="14" t="s">
        <v>3</v>
      </c>
      <c r="L39" s="1"/>
    </row>
    <row r="40" spans="1:12" x14ac:dyDescent="0.3">
      <c r="A40" s="1"/>
      <c r="B40" s="71" t="s">
        <v>254</v>
      </c>
      <c r="C40" s="42">
        <v>20</v>
      </c>
      <c r="D40" s="9">
        <v>442954</v>
      </c>
      <c r="E40" s="14" t="s">
        <v>3</v>
      </c>
      <c r="F40" s="9">
        <f t="shared" si="0"/>
        <v>22147.7</v>
      </c>
      <c r="G40" s="14" t="s">
        <v>3</v>
      </c>
      <c r="H40" s="38">
        <v>0</v>
      </c>
      <c r="I40" s="14" t="s">
        <v>3</v>
      </c>
      <c r="J40" s="38">
        <v>0</v>
      </c>
      <c r="K40" s="14" t="s">
        <v>3</v>
      </c>
      <c r="L40" s="1"/>
    </row>
    <row r="41" spans="1:12" x14ac:dyDescent="0.3">
      <c r="A41" s="1"/>
      <c r="B41" s="71" t="s">
        <v>255</v>
      </c>
      <c r="C41" s="42">
        <v>10</v>
      </c>
      <c r="D41" s="9">
        <v>15582</v>
      </c>
      <c r="E41" s="14" t="s">
        <v>3</v>
      </c>
      <c r="F41" s="9">
        <f t="shared" si="0"/>
        <v>1558.2</v>
      </c>
      <c r="G41" s="14" t="s">
        <v>3</v>
      </c>
      <c r="H41" s="38">
        <v>0</v>
      </c>
      <c r="I41" s="14" t="s">
        <v>3</v>
      </c>
      <c r="J41" s="38">
        <v>0</v>
      </c>
      <c r="K41" s="14" t="s">
        <v>3</v>
      </c>
      <c r="L41" s="1"/>
    </row>
    <row r="42" spans="1:12" x14ac:dyDescent="0.3">
      <c r="A42" s="1"/>
      <c r="B42" s="71" t="s">
        <v>256</v>
      </c>
      <c r="C42" s="42">
        <v>60</v>
      </c>
      <c r="D42" s="9">
        <v>338667</v>
      </c>
      <c r="E42" s="14" t="s">
        <v>3</v>
      </c>
      <c r="F42" s="9">
        <f t="shared" si="0"/>
        <v>5644.45</v>
      </c>
      <c r="G42" s="14" t="s">
        <v>3</v>
      </c>
      <c r="H42" s="38">
        <v>0</v>
      </c>
      <c r="I42" s="14" t="s">
        <v>3</v>
      </c>
      <c r="J42" s="38">
        <v>0</v>
      </c>
      <c r="K42" s="14" t="s">
        <v>3</v>
      </c>
      <c r="L42" s="1"/>
    </row>
    <row r="43" spans="1:12" x14ac:dyDescent="0.3">
      <c r="A43" s="1"/>
      <c r="B43" s="71" t="s">
        <v>257</v>
      </c>
      <c r="C43" s="42">
        <v>20</v>
      </c>
      <c r="D43" s="9">
        <v>465375</v>
      </c>
      <c r="E43" s="14" t="s">
        <v>3</v>
      </c>
      <c r="F43" s="9">
        <f t="shared" si="0"/>
        <v>23268.75</v>
      </c>
      <c r="G43" s="14" t="s">
        <v>3</v>
      </c>
      <c r="H43" s="38">
        <v>0</v>
      </c>
      <c r="I43" s="14" t="s">
        <v>3</v>
      </c>
      <c r="J43" s="38">
        <v>0</v>
      </c>
      <c r="K43" s="14" t="s">
        <v>3</v>
      </c>
      <c r="L43" s="1"/>
    </row>
    <row r="44" spans="1:12" x14ac:dyDescent="0.3">
      <c r="A44" s="1"/>
      <c r="B44" s="71" t="s">
        <v>258</v>
      </c>
      <c r="C44" s="42">
        <v>10</v>
      </c>
      <c r="D44" s="9">
        <v>16370</v>
      </c>
      <c r="E44" s="14" t="s">
        <v>3</v>
      </c>
      <c r="F44" s="9">
        <f t="shared" si="0"/>
        <v>1637</v>
      </c>
      <c r="G44" s="14" t="s">
        <v>3</v>
      </c>
      <c r="H44" s="38">
        <v>0</v>
      </c>
      <c r="I44" s="14" t="s">
        <v>3</v>
      </c>
      <c r="J44" s="38">
        <v>0</v>
      </c>
      <c r="K44" s="14" t="s">
        <v>3</v>
      </c>
      <c r="L44" s="1"/>
    </row>
    <row r="45" spans="1:12" ht="40.200000000000003" x14ac:dyDescent="0.3">
      <c r="A45" s="1"/>
      <c r="B45" s="71" t="s">
        <v>259</v>
      </c>
      <c r="C45" s="42">
        <v>60</v>
      </c>
      <c r="D45" s="9">
        <v>163854</v>
      </c>
      <c r="E45" s="14" t="s">
        <v>3</v>
      </c>
      <c r="F45" s="9">
        <f t="shared" si="0"/>
        <v>2730.9</v>
      </c>
      <c r="G45" s="14" t="s">
        <v>3</v>
      </c>
      <c r="H45" s="38">
        <v>0</v>
      </c>
      <c r="I45" s="14" t="s">
        <v>3</v>
      </c>
      <c r="J45" s="38">
        <v>0</v>
      </c>
      <c r="K45" s="14" t="s">
        <v>3</v>
      </c>
      <c r="L45" s="1"/>
    </row>
    <row r="46" spans="1:12" ht="27" x14ac:dyDescent="0.3">
      <c r="A46" s="1"/>
      <c r="B46" s="71" t="s">
        <v>260</v>
      </c>
      <c r="C46" s="42">
        <v>20</v>
      </c>
      <c r="D46" s="9">
        <v>682998</v>
      </c>
      <c r="E46" s="14" t="s">
        <v>3</v>
      </c>
      <c r="F46" s="9">
        <f t="shared" si="0"/>
        <v>34149.9</v>
      </c>
      <c r="G46" s="14" t="s">
        <v>3</v>
      </c>
      <c r="H46" s="38">
        <v>0</v>
      </c>
      <c r="I46" s="14" t="s">
        <v>3</v>
      </c>
      <c r="J46" s="38">
        <v>0</v>
      </c>
      <c r="K46" s="14" t="s">
        <v>3</v>
      </c>
      <c r="L46" s="1"/>
    </row>
    <row r="47" spans="1:12" ht="27" x14ac:dyDescent="0.3">
      <c r="A47" s="1"/>
      <c r="B47" s="71" t="s">
        <v>261</v>
      </c>
      <c r="C47" s="42">
        <v>10</v>
      </c>
      <c r="D47" s="9">
        <v>24026</v>
      </c>
      <c r="E47" s="14" t="s">
        <v>3</v>
      </c>
      <c r="F47" s="9">
        <f t="shared" si="0"/>
        <v>2402.6</v>
      </c>
      <c r="G47" s="14" t="s">
        <v>3</v>
      </c>
      <c r="H47" s="38">
        <v>0</v>
      </c>
      <c r="I47" s="14" t="s">
        <v>3</v>
      </c>
      <c r="J47" s="38">
        <v>0</v>
      </c>
      <c r="K47" s="14" t="s">
        <v>3</v>
      </c>
      <c r="L47" s="1"/>
    </row>
    <row r="48" spans="1:12" ht="27" x14ac:dyDescent="0.3">
      <c r="A48" s="1"/>
      <c r="B48" s="71" t="s">
        <v>262</v>
      </c>
      <c r="C48" s="42">
        <v>60</v>
      </c>
      <c r="D48" s="9">
        <v>35184</v>
      </c>
      <c r="E48" s="14" t="s">
        <v>3</v>
      </c>
      <c r="F48" s="9">
        <f t="shared" si="0"/>
        <v>586.4</v>
      </c>
      <c r="G48" s="14" t="s">
        <v>3</v>
      </c>
      <c r="H48" s="38">
        <v>0</v>
      </c>
      <c r="I48" s="14" t="s">
        <v>3</v>
      </c>
      <c r="J48" s="38">
        <v>0</v>
      </c>
      <c r="K48" s="14" t="s">
        <v>3</v>
      </c>
      <c r="L48" s="1"/>
    </row>
    <row r="49" spans="1:12" x14ac:dyDescent="0.3">
      <c r="A49" s="1"/>
      <c r="B49" s="71" t="s">
        <v>263</v>
      </c>
      <c r="C49" s="42">
        <v>20</v>
      </c>
      <c r="D49" s="9">
        <v>134278</v>
      </c>
      <c r="E49" s="14" t="s">
        <v>3</v>
      </c>
      <c r="F49" s="9">
        <f t="shared" si="0"/>
        <v>6713.9</v>
      </c>
      <c r="G49" s="14" t="s">
        <v>3</v>
      </c>
      <c r="H49" s="38">
        <v>0</v>
      </c>
      <c r="I49" s="14" t="s">
        <v>3</v>
      </c>
      <c r="J49" s="38">
        <v>0</v>
      </c>
      <c r="K49" s="14" t="s">
        <v>3</v>
      </c>
      <c r="L49" s="1"/>
    </row>
    <row r="50" spans="1:12" x14ac:dyDescent="0.3">
      <c r="A50" s="1"/>
      <c r="B50" s="71" t="s">
        <v>264</v>
      </c>
      <c r="C50" s="42">
        <v>10</v>
      </c>
      <c r="D50" s="9">
        <v>4723</v>
      </c>
      <c r="E50" s="14" t="s">
        <v>3</v>
      </c>
      <c r="F50" s="9">
        <f t="shared" si="0"/>
        <v>472.3</v>
      </c>
      <c r="G50" s="14" t="s">
        <v>3</v>
      </c>
      <c r="H50" s="38">
        <v>0</v>
      </c>
      <c r="I50" s="14" t="s">
        <v>3</v>
      </c>
      <c r="J50" s="38">
        <v>0</v>
      </c>
      <c r="K50" s="14" t="s">
        <v>3</v>
      </c>
      <c r="L50" s="1"/>
    </row>
    <row r="51" spans="1:12" ht="53.4" x14ac:dyDescent="0.3">
      <c r="A51" s="1"/>
      <c r="B51" s="71" t="s">
        <v>265</v>
      </c>
      <c r="C51" s="42">
        <v>15</v>
      </c>
      <c r="D51" s="9">
        <v>305892</v>
      </c>
      <c r="E51" s="14" t="s">
        <v>3</v>
      </c>
      <c r="F51" s="9">
        <f t="shared" si="0"/>
        <v>20392.8</v>
      </c>
      <c r="G51" s="14" t="s">
        <v>3</v>
      </c>
      <c r="H51" s="38">
        <v>0</v>
      </c>
      <c r="I51" s="14" t="s">
        <v>3</v>
      </c>
      <c r="J51" s="38">
        <v>0</v>
      </c>
      <c r="K51" s="14" t="s">
        <v>3</v>
      </c>
      <c r="L51" s="1"/>
    </row>
    <row r="52" spans="1:12" ht="27" x14ac:dyDescent="0.3">
      <c r="A52" s="1"/>
      <c r="B52" s="71" t="s">
        <v>266</v>
      </c>
      <c r="C52" s="42">
        <v>60</v>
      </c>
      <c r="D52" s="9">
        <v>660887</v>
      </c>
      <c r="E52" s="14" t="s">
        <v>3</v>
      </c>
      <c r="F52" s="9">
        <f t="shared" si="0"/>
        <v>11014.783333333333</v>
      </c>
      <c r="G52" s="14" t="s">
        <v>3</v>
      </c>
      <c r="H52" s="38">
        <v>0</v>
      </c>
      <c r="I52" s="14" t="s">
        <v>3</v>
      </c>
      <c r="J52" s="38">
        <v>0</v>
      </c>
      <c r="K52" s="14" t="s">
        <v>3</v>
      </c>
      <c r="L52" s="1"/>
    </row>
    <row r="53" spans="1:12" x14ac:dyDescent="0.3">
      <c r="A53" s="1"/>
      <c r="B53" s="71" t="s">
        <v>267</v>
      </c>
      <c r="C53" s="42">
        <v>20</v>
      </c>
      <c r="D53" s="9">
        <v>496782</v>
      </c>
      <c r="E53" s="14" t="s">
        <v>3</v>
      </c>
      <c r="F53" s="9">
        <f t="shared" si="0"/>
        <v>24839.1</v>
      </c>
      <c r="G53" s="14" t="s">
        <v>3</v>
      </c>
      <c r="H53" s="38">
        <v>0</v>
      </c>
      <c r="I53" s="14" t="s">
        <v>3</v>
      </c>
      <c r="J53" s="38">
        <v>0</v>
      </c>
      <c r="K53" s="14" t="s">
        <v>3</v>
      </c>
      <c r="L53" s="1"/>
    </row>
    <row r="54" spans="1:12" x14ac:dyDescent="0.3">
      <c r="A54" s="1"/>
      <c r="B54" s="71" t="s">
        <v>268</v>
      </c>
      <c r="C54" s="42">
        <v>10</v>
      </c>
      <c r="D54" s="9">
        <v>17475</v>
      </c>
      <c r="E54" s="14" t="s">
        <v>3</v>
      </c>
      <c r="F54" s="9">
        <f t="shared" si="0"/>
        <v>1747.5</v>
      </c>
      <c r="G54" s="14" t="s">
        <v>3</v>
      </c>
      <c r="H54" s="38">
        <v>0</v>
      </c>
      <c r="I54" s="14" t="s">
        <v>3</v>
      </c>
      <c r="J54" s="38">
        <v>0</v>
      </c>
      <c r="K54" s="14" t="s">
        <v>3</v>
      </c>
      <c r="L54" s="1"/>
    </row>
    <row r="55" spans="1:12" x14ac:dyDescent="0.3">
      <c r="A55" s="1"/>
      <c r="B55" s="71" t="s">
        <v>269</v>
      </c>
      <c r="C55" s="42">
        <v>50</v>
      </c>
      <c r="D55" s="9">
        <v>204110</v>
      </c>
      <c r="E55" s="14" t="s">
        <v>3</v>
      </c>
      <c r="F55" s="9">
        <f t="shared" si="0"/>
        <v>4082.2</v>
      </c>
      <c r="G55" s="14" t="s">
        <v>3</v>
      </c>
      <c r="H55" s="38">
        <v>0</v>
      </c>
      <c r="I55" s="14" t="s">
        <v>3</v>
      </c>
      <c r="J55" s="38">
        <v>0</v>
      </c>
      <c r="K55" s="14" t="s">
        <v>3</v>
      </c>
      <c r="L55" s="1"/>
    </row>
    <row r="56" spans="1:12" ht="27.75" customHeight="1" x14ac:dyDescent="0.3">
      <c r="A56" s="1"/>
      <c r="B56" s="71" t="s">
        <v>270</v>
      </c>
      <c r="C56" s="42">
        <v>40</v>
      </c>
      <c r="D56" s="9">
        <v>229021</v>
      </c>
      <c r="E56" s="14" t="s">
        <v>3</v>
      </c>
      <c r="F56" s="9">
        <f t="shared" si="0"/>
        <v>5725.5249999999996</v>
      </c>
      <c r="G56" s="14" t="s">
        <v>3</v>
      </c>
      <c r="H56" s="38">
        <v>0</v>
      </c>
      <c r="I56" s="14" t="s">
        <v>3</v>
      </c>
      <c r="J56" s="38">
        <v>0</v>
      </c>
      <c r="K56" s="14" t="s">
        <v>3</v>
      </c>
      <c r="L56" s="1"/>
    </row>
    <row r="57" spans="1:12" ht="27" x14ac:dyDescent="0.3">
      <c r="A57" s="1"/>
      <c r="B57" s="71" t="s">
        <v>271</v>
      </c>
      <c r="C57" s="42">
        <v>60</v>
      </c>
      <c r="D57" s="9">
        <v>58820</v>
      </c>
      <c r="E57" s="14" t="s">
        <v>3</v>
      </c>
      <c r="F57" s="9">
        <f t="shared" si="0"/>
        <v>980.33333333333337</v>
      </c>
      <c r="G57" s="14" t="s">
        <v>3</v>
      </c>
      <c r="H57" s="38">
        <v>0</v>
      </c>
      <c r="I57" s="14" t="s">
        <v>3</v>
      </c>
      <c r="J57" s="38">
        <v>0</v>
      </c>
      <c r="K57" s="14" t="s">
        <v>3</v>
      </c>
      <c r="L57" s="1"/>
    </row>
    <row r="58" spans="1:12" x14ac:dyDescent="0.3">
      <c r="A58" s="1"/>
      <c r="B58" s="71" t="s">
        <v>272</v>
      </c>
      <c r="C58" s="42">
        <v>20</v>
      </c>
      <c r="D58" s="9">
        <v>714774</v>
      </c>
      <c r="E58" s="14" t="s">
        <v>3</v>
      </c>
      <c r="F58" s="9">
        <f t="shared" si="0"/>
        <v>35738.699999999997</v>
      </c>
      <c r="G58" s="14" t="s">
        <v>3</v>
      </c>
      <c r="H58" s="38">
        <v>0</v>
      </c>
      <c r="I58" s="14" t="s">
        <v>3</v>
      </c>
      <c r="J58" s="38">
        <v>0</v>
      </c>
      <c r="K58" s="14" t="s">
        <v>3</v>
      </c>
      <c r="L58" s="1"/>
    </row>
    <row r="59" spans="1:12" x14ac:dyDescent="0.3">
      <c r="A59" s="1"/>
      <c r="B59" s="71" t="s">
        <v>273</v>
      </c>
      <c r="C59" s="42">
        <v>10</v>
      </c>
      <c r="D59" s="9">
        <v>25143</v>
      </c>
      <c r="E59" s="14" t="s">
        <v>3</v>
      </c>
      <c r="F59" s="9">
        <f t="shared" si="0"/>
        <v>2514.3000000000002</v>
      </c>
      <c r="G59" s="14" t="s">
        <v>3</v>
      </c>
      <c r="H59" s="38">
        <v>0</v>
      </c>
      <c r="I59" s="14" t="s">
        <v>3</v>
      </c>
      <c r="J59" s="38">
        <v>0</v>
      </c>
      <c r="K59" s="14" t="s">
        <v>3</v>
      </c>
      <c r="L59" s="1"/>
    </row>
    <row r="60" spans="1:12" ht="27" x14ac:dyDescent="0.3">
      <c r="A60" s="1"/>
      <c r="B60" s="71" t="s">
        <v>274</v>
      </c>
      <c r="C60" s="42">
        <v>60</v>
      </c>
      <c r="D60" s="9">
        <v>147747</v>
      </c>
      <c r="E60" s="14" t="s">
        <v>3</v>
      </c>
      <c r="F60" s="9">
        <f t="shared" si="0"/>
        <v>2462.4499999999998</v>
      </c>
      <c r="G60" s="14" t="s">
        <v>3</v>
      </c>
      <c r="H60" s="38">
        <v>0</v>
      </c>
      <c r="I60" s="14" t="s">
        <v>3</v>
      </c>
      <c r="J60" s="38">
        <v>0</v>
      </c>
      <c r="K60" s="14" t="s">
        <v>3</v>
      </c>
      <c r="L60" s="1"/>
    </row>
    <row r="61" spans="1:12" x14ac:dyDescent="0.3">
      <c r="A61" s="1"/>
      <c r="B61" s="71" t="s">
        <v>275</v>
      </c>
      <c r="C61" s="42">
        <v>20</v>
      </c>
      <c r="D61" s="9">
        <v>245673</v>
      </c>
      <c r="E61" s="14" t="s">
        <v>3</v>
      </c>
      <c r="F61" s="9">
        <f t="shared" si="0"/>
        <v>12283.65</v>
      </c>
      <c r="G61" s="14" t="s">
        <v>3</v>
      </c>
      <c r="H61" s="38">
        <v>0</v>
      </c>
      <c r="I61" s="14" t="s">
        <v>3</v>
      </c>
      <c r="J61" s="38">
        <v>0</v>
      </c>
      <c r="K61" s="14" t="s">
        <v>3</v>
      </c>
      <c r="L61" s="1"/>
    </row>
    <row r="62" spans="1:12" x14ac:dyDescent="0.3">
      <c r="A62" s="1"/>
      <c r="B62" s="71" t="s">
        <v>276</v>
      </c>
      <c r="C62" s="42">
        <v>10</v>
      </c>
      <c r="D62" s="9">
        <v>8642</v>
      </c>
      <c r="E62" s="14" t="s">
        <v>3</v>
      </c>
      <c r="F62" s="9">
        <f t="shared" si="0"/>
        <v>864.2</v>
      </c>
      <c r="G62" s="14" t="s">
        <v>3</v>
      </c>
      <c r="H62" s="38">
        <v>0</v>
      </c>
      <c r="I62" s="14" t="s">
        <v>3</v>
      </c>
      <c r="J62" s="38">
        <v>0</v>
      </c>
      <c r="K62" s="14" t="s">
        <v>3</v>
      </c>
      <c r="L62" s="1"/>
    </row>
    <row r="63" spans="1:12" ht="40.200000000000003" x14ac:dyDescent="0.3">
      <c r="A63" s="1"/>
      <c r="B63" s="71" t="s">
        <v>277</v>
      </c>
      <c r="C63" s="42">
        <v>60</v>
      </c>
      <c r="D63" s="9">
        <v>301474</v>
      </c>
      <c r="E63" s="14" t="s">
        <v>3</v>
      </c>
      <c r="F63" s="9">
        <f t="shared" si="0"/>
        <v>5024.5666666666666</v>
      </c>
      <c r="G63" s="14" t="s">
        <v>3</v>
      </c>
      <c r="H63" s="38">
        <v>0</v>
      </c>
      <c r="I63" s="14" t="s">
        <v>3</v>
      </c>
      <c r="J63" s="38">
        <v>0</v>
      </c>
      <c r="K63" s="14" t="s">
        <v>3</v>
      </c>
      <c r="L63" s="1"/>
    </row>
    <row r="64" spans="1:12" ht="40.200000000000003" x14ac:dyDescent="0.3">
      <c r="A64" s="1"/>
      <c r="B64" s="71" t="s">
        <v>278</v>
      </c>
      <c r="C64" s="42">
        <v>20</v>
      </c>
      <c r="D64" s="9">
        <v>908336</v>
      </c>
      <c r="E64" s="14" t="s">
        <v>3</v>
      </c>
      <c r="F64" s="9">
        <f t="shared" si="0"/>
        <v>45416.800000000003</v>
      </c>
      <c r="G64" s="14" t="s">
        <v>3</v>
      </c>
      <c r="H64" s="38">
        <v>0</v>
      </c>
      <c r="I64" s="14" t="s">
        <v>3</v>
      </c>
      <c r="J64" s="38">
        <v>0</v>
      </c>
      <c r="K64" s="14" t="s">
        <v>3</v>
      </c>
      <c r="L64" s="1"/>
    </row>
    <row r="65" spans="1:12" ht="40.200000000000003" x14ac:dyDescent="0.3">
      <c r="A65" s="1"/>
      <c r="B65" s="71" t="s">
        <v>279</v>
      </c>
      <c r="C65" s="42">
        <v>10</v>
      </c>
      <c r="D65" s="9">
        <v>31952</v>
      </c>
      <c r="E65" s="14" t="s">
        <v>3</v>
      </c>
      <c r="F65" s="9">
        <f t="shared" si="0"/>
        <v>3195.2</v>
      </c>
      <c r="G65" s="14" t="s">
        <v>3</v>
      </c>
      <c r="H65" s="38">
        <v>0</v>
      </c>
      <c r="I65" s="14" t="s">
        <v>3</v>
      </c>
      <c r="J65" s="38">
        <v>0</v>
      </c>
      <c r="K65" s="14" t="s">
        <v>3</v>
      </c>
      <c r="L65" s="1"/>
    </row>
    <row r="66" spans="1:12" ht="53.4" x14ac:dyDescent="0.3">
      <c r="A66" s="1"/>
      <c r="B66" s="71" t="s">
        <v>280</v>
      </c>
      <c r="C66" s="42">
        <v>15</v>
      </c>
      <c r="D66" s="9">
        <v>301720</v>
      </c>
      <c r="E66" s="14" t="s">
        <v>3</v>
      </c>
      <c r="F66" s="9">
        <f t="shared" si="0"/>
        <v>20114.666666666668</v>
      </c>
      <c r="G66" s="14" t="s">
        <v>3</v>
      </c>
      <c r="H66" s="38">
        <v>0</v>
      </c>
      <c r="I66" s="14" t="s">
        <v>3</v>
      </c>
      <c r="J66" s="38">
        <v>0</v>
      </c>
      <c r="K66" s="14" t="s">
        <v>3</v>
      </c>
      <c r="L66" s="1"/>
    </row>
    <row r="67" spans="1:12" x14ac:dyDescent="0.3">
      <c r="A67" s="1"/>
      <c r="B67" s="77" t="s">
        <v>221</v>
      </c>
      <c r="C67" s="78"/>
      <c r="D67" s="79"/>
      <c r="E67" s="79"/>
      <c r="F67" s="12">
        <f>SUM(F10:F66)</f>
        <v>516645.5416666668</v>
      </c>
      <c r="G67" s="12" t="s">
        <v>94</v>
      </c>
      <c r="H67" s="12">
        <f>SUM(H10:H66)</f>
        <v>0</v>
      </c>
      <c r="I67" s="12" t="s">
        <v>94</v>
      </c>
      <c r="J67" s="12">
        <f>SUM(J10:J66)</f>
        <v>0</v>
      </c>
      <c r="K67" s="13" t="s">
        <v>3</v>
      </c>
      <c r="L67" s="1"/>
    </row>
    <row r="68" spans="1:12" x14ac:dyDescent="0.3">
      <c r="A68" s="1"/>
      <c r="B68" s="1"/>
      <c r="C68" s="1"/>
      <c r="D68" s="1"/>
      <c r="E68" s="1"/>
      <c r="F68" s="1"/>
      <c r="G68" s="1"/>
      <c r="H68" s="1"/>
      <c r="I68" s="1"/>
      <c r="J68" s="1"/>
      <c r="K68" s="1"/>
      <c r="L68" s="1"/>
    </row>
    <row r="69" spans="1:12" hidden="1" x14ac:dyDescent="0.3">
      <c r="A69" s="1"/>
      <c r="B69" s="1"/>
      <c r="C69" s="1"/>
      <c r="D69" s="1"/>
      <c r="E69" s="1"/>
      <c r="F69" s="1"/>
      <c r="G69" s="1"/>
      <c r="H69" s="1"/>
      <c r="I69" s="1"/>
      <c r="J69" s="1"/>
      <c r="K69" s="1"/>
      <c r="L69" s="1"/>
    </row>
    <row r="70" spans="1:12" hidden="1" x14ac:dyDescent="0.3">
      <c r="A70" s="1"/>
      <c r="B70" s="1"/>
      <c r="C70" s="1"/>
      <c r="D70" s="1"/>
      <c r="E70" s="1"/>
      <c r="F70" s="1"/>
      <c r="G70" s="1"/>
      <c r="H70" s="1"/>
      <c r="I70" s="1"/>
      <c r="J70" s="1"/>
      <c r="K70" s="1"/>
      <c r="L70" s="1"/>
    </row>
    <row r="71" spans="1:12" hidden="1" x14ac:dyDescent="0.3">
      <c r="A71" s="1"/>
      <c r="B71" s="1"/>
      <c r="C71" s="1"/>
      <c r="D71" s="1"/>
      <c r="E71" s="1"/>
      <c r="F71" s="1"/>
      <c r="G71" s="1"/>
      <c r="H71" s="1"/>
      <c r="I71" s="1"/>
      <c r="J71" s="1"/>
      <c r="K71" s="1"/>
      <c r="L71" s="1"/>
    </row>
    <row r="72" spans="1:12" hidden="1" x14ac:dyDescent="0.3">
      <c r="A72" s="1"/>
      <c r="B72" s="1"/>
      <c r="C72" s="1"/>
      <c r="D72" s="1"/>
      <c r="E72" s="1"/>
      <c r="F72" s="1"/>
      <c r="G72" s="1"/>
      <c r="H72" s="1"/>
      <c r="I72" s="1"/>
      <c r="J72" s="1"/>
      <c r="K72" s="1"/>
      <c r="L72" s="1"/>
    </row>
    <row r="73" spans="1:12" hidden="1" x14ac:dyDescent="0.3">
      <c r="A73" s="1"/>
      <c r="B73" s="1"/>
      <c r="C73" s="1"/>
      <c r="D73" s="1"/>
      <c r="E73" s="1"/>
      <c r="F73" s="1"/>
      <c r="G73" s="1"/>
      <c r="H73" s="1"/>
      <c r="I73" s="1"/>
      <c r="J73" s="1"/>
      <c r="K73" s="1"/>
      <c r="L73" s="1"/>
    </row>
    <row r="74" spans="1:12" hidden="1" x14ac:dyDescent="0.3">
      <c r="A74" s="1"/>
      <c r="B74" s="1"/>
      <c r="C74" s="1"/>
      <c r="D74" s="1"/>
      <c r="E74" s="1"/>
      <c r="F74" s="1"/>
      <c r="G74" s="1"/>
      <c r="H74" s="1"/>
      <c r="I74" s="1"/>
      <c r="J74" s="1"/>
      <c r="K74" s="1"/>
      <c r="L74" s="1"/>
    </row>
    <row r="75" spans="1:12" hidden="1" x14ac:dyDescent="0.3">
      <c r="A75" s="1"/>
      <c r="B75" s="1"/>
      <c r="C75" s="1"/>
      <c r="D75" s="1"/>
      <c r="E75" s="1"/>
      <c r="F75" s="1"/>
      <c r="G75" s="1"/>
      <c r="H75" s="1"/>
      <c r="I75" s="1"/>
      <c r="J75" s="1"/>
      <c r="K75" s="1"/>
      <c r="L75" s="1"/>
    </row>
    <row r="76" spans="1:12" hidden="1" x14ac:dyDescent="0.3">
      <c r="A76" s="1"/>
      <c r="B76" s="1"/>
      <c r="C76" s="1"/>
      <c r="D76" s="1"/>
      <c r="E76" s="1"/>
      <c r="F76" s="1"/>
      <c r="G76" s="1"/>
      <c r="H76" s="1"/>
      <c r="I76" s="1"/>
      <c r="J76" s="1"/>
      <c r="K76" s="1"/>
      <c r="L76" s="1"/>
    </row>
    <row r="77" spans="1:12" hidden="1" x14ac:dyDescent="0.3">
      <c r="A77" s="1"/>
      <c r="B77" s="1"/>
      <c r="C77" s="1"/>
      <c r="D77" s="1"/>
      <c r="E77" s="1"/>
      <c r="F77" s="1"/>
      <c r="G77" s="1"/>
      <c r="H77" s="1"/>
      <c r="I77" s="1"/>
      <c r="J77" s="1"/>
      <c r="K77" s="1"/>
      <c r="L77" s="1"/>
    </row>
    <row r="78" spans="1:12" hidden="1" x14ac:dyDescent="0.3">
      <c r="A78" s="1"/>
      <c r="B78" s="1"/>
      <c r="C78" s="1"/>
      <c r="D78" s="1"/>
      <c r="E78" s="1"/>
      <c r="F78" s="1"/>
      <c r="G78" s="1"/>
      <c r="H78" s="1"/>
      <c r="I78" s="1"/>
      <c r="J78" s="1"/>
      <c r="K78" s="1"/>
      <c r="L78" s="1"/>
    </row>
    <row r="79" spans="1:12" hidden="1" x14ac:dyDescent="0.3">
      <c r="A79" s="1"/>
      <c r="B79" s="1"/>
      <c r="C79" s="1"/>
      <c r="D79" s="1"/>
      <c r="E79" s="1"/>
      <c r="F79" s="1"/>
      <c r="G79" s="1"/>
      <c r="H79" s="1"/>
      <c r="I79" s="1"/>
      <c r="J79" s="1"/>
      <c r="K79" s="1"/>
      <c r="L79" s="1"/>
    </row>
    <row r="80" spans="1:12" hidden="1" x14ac:dyDescent="0.3">
      <c r="A80" s="1"/>
      <c r="B80" s="1"/>
      <c r="C80" s="1"/>
      <c r="D80" s="1"/>
      <c r="E80" s="1"/>
      <c r="F80" s="1"/>
      <c r="G80" s="1"/>
      <c r="H80" s="1"/>
      <c r="I80" s="1"/>
      <c r="J80" s="1"/>
      <c r="K80" s="1"/>
      <c r="L80" s="1"/>
    </row>
    <row r="81" spans="1:12" hidden="1" x14ac:dyDescent="0.3">
      <c r="A81" s="1"/>
      <c r="B81" s="1"/>
      <c r="C81" s="1"/>
      <c r="D81" s="1"/>
      <c r="E81" s="1"/>
      <c r="F81" s="1"/>
      <c r="G81" s="1"/>
      <c r="H81" s="1"/>
      <c r="I81" s="1"/>
      <c r="J81" s="1"/>
      <c r="K81" s="1"/>
      <c r="L81" s="1"/>
    </row>
    <row r="82" spans="1:12" hidden="1" x14ac:dyDescent="0.3">
      <c r="A82" s="1"/>
      <c r="B82" s="1"/>
      <c r="C82" s="1"/>
      <c r="D82" s="1"/>
      <c r="E82" s="1"/>
      <c r="F82" s="1"/>
      <c r="G82" s="1"/>
      <c r="H82" s="1"/>
      <c r="I82" s="1"/>
      <c r="J82" s="1"/>
      <c r="K82" s="1"/>
      <c r="L82" s="1"/>
    </row>
    <row r="83" spans="1:12" hidden="1" x14ac:dyDescent="0.3">
      <c r="A83" s="1"/>
      <c r="B83" s="1"/>
      <c r="C83" s="1"/>
      <c r="D83" s="1"/>
      <c r="E83" s="1"/>
      <c r="F83" s="1"/>
      <c r="G83" s="1"/>
      <c r="H83" s="1"/>
      <c r="I83" s="1"/>
      <c r="J83" s="1"/>
      <c r="K83" s="1"/>
      <c r="L83" s="1"/>
    </row>
    <row r="84" spans="1:12" hidden="1" x14ac:dyDescent="0.3">
      <c r="A84" s="1"/>
      <c r="B84" s="1"/>
      <c r="C84" s="1"/>
      <c r="D84" s="1"/>
      <c r="E84" s="1"/>
      <c r="F84" s="1"/>
      <c r="G84" s="1"/>
      <c r="H84" s="1"/>
      <c r="I84" s="1"/>
      <c r="J84" s="1"/>
      <c r="K84" s="1"/>
      <c r="L84" s="1"/>
    </row>
    <row r="85" spans="1:12" hidden="1" x14ac:dyDescent="0.3">
      <c r="A85" s="1"/>
      <c r="B85" s="1"/>
      <c r="C85" s="1"/>
      <c r="D85" s="1"/>
      <c r="E85" s="1"/>
      <c r="F85" s="1"/>
      <c r="G85" s="1"/>
      <c r="H85" s="1"/>
      <c r="I85" s="1"/>
      <c r="J85" s="1"/>
      <c r="K85" s="1"/>
      <c r="L85" s="1"/>
    </row>
    <row r="86" spans="1:12" hidden="1" x14ac:dyDescent="0.3">
      <c r="A86" s="1"/>
      <c r="B86" s="1"/>
      <c r="C86" s="1"/>
      <c r="D86" s="1"/>
      <c r="E86" s="1"/>
      <c r="F86" s="1"/>
      <c r="G86" s="1"/>
      <c r="H86" s="1"/>
      <c r="I86" s="1"/>
      <c r="J86" s="1"/>
      <c r="K86" s="1"/>
      <c r="L86" s="1"/>
    </row>
    <row r="87" spans="1:12" hidden="1" x14ac:dyDescent="0.3">
      <c r="A87" s="1"/>
      <c r="B87" s="1"/>
      <c r="C87" s="1"/>
      <c r="D87" s="1"/>
      <c r="E87" s="1"/>
      <c r="F87" s="1"/>
      <c r="G87" s="1"/>
      <c r="H87" s="1"/>
      <c r="I87" s="1"/>
      <c r="J87" s="1"/>
      <c r="K87" s="1"/>
      <c r="L87" s="1"/>
    </row>
    <row r="88" spans="1:12" hidden="1" x14ac:dyDescent="0.3">
      <c r="A88" s="1"/>
      <c r="B88" s="1"/>
      <c r="C88" s="1"/>
      <c r="D88" s="1"/>
      <c r="E88" s="1"/>
      <c r="F88" s="1"/>
      <c r="G88" s="1"/>
      <c r="H88" s="1"/>
      <c r="I88" s="1"/>
      <c r="J88" s="1"/>
      <c r="K88" s="1"/>
      <c r="L88" s="1"/>
    </row>
    <row r="89" spans="1:12" hidden="1" x14ac:dyDescent="0.3">
      <c r="A89" s="1"/>
      <c r="B89" s="1"/>
      <c r="C89" s="1"/>
      <c r="D89" s="1"/>
      <c r="E89" s="1"/>
      <c r="F89" s="1"/>
      <c r="G89" s="1"/>
      <c r="H89" s="1"/>
      <c r="I89" s="1"/>
      <c r="J89" s="1"/>
      <c r="K89" s="1"/>
      <c r="L89" s="1"/>
    </row>
    <row r="90" spans="1:12" hidden="1" x14ac:dyDescent="0.3">
      <c r="A90" s="1"/>
      <c r="B90" s="1"/>
      <c r="C90" s="1"/>
      <c r="D90" s="1"/>
      <c r="E90" s="1"/>
      <c r="F90" s="1"/>
      <c r="G90" s="1"/>
      <c r="H90" s="1"/>
      <c r="I90" s="1"/>
      <c r="J90" s="1"/>
      <c r="K90" s="1"/>
      <c r="L90" s="1"/>
    </row>
    <row r="91" spans="1:12" hidden="1" x14ac:dyDescent="0.3">
      <c r="A91" s="1"/>
      <c r="B91" s="1"/>
      <c r="C91" s="1"/>
      <c r="D91" s="1"/>
      <c r="E91" s="1"/>
      <c r="F91" s="1"/>
      <c r="G91" s="1"/>
      <c r="H91" s="1"/>
      <c r="I91" s="1"/>
      <c r="J91" s="1"/>
      <c r="K91" s="1"/>
      <c r="L91" s="1"/>
    </row>
    <row r="92" spans="1:12" hidden="1" x14ac:dyDescent="0.3">
      <c r="A92" s="1"/>
      <c r="B92" s="1"/>
      <c r="C92" s="1"/>
      <c r="D92" s="1"/>
      <c r="E92" s="1"/>
      <c r="F92" s="1"/>
      <c r="G92" s="1"/>
      <c r="H92" s="1"/>
      <c r="I92" s="1"/>
      <c r="J92" s="1"/>
      <c r="K92" s="1"/>
      <c r="L92" s="1"/>
    </row>
    <row r="93" spans="1:12" hidden="1" x14ac:dyDescent="0.3">
      <c r="A93" s="1"/>
      <c r="B93" s="1"/>
      <c r="C93" s="1"/>
      <c r="D93" s="1"/>
      <c r="E93" s="1"/>
      <c r="F93" s="1"/>
      <c r="G93" s="1"/>
      <c r="H93" s="1"/>
      <c r="I93" s="1"/>
      <c r="J93" s="1"/>
      <c r="K93" s="1"/>
      <c r="L93" s="1"/>
    </row>
    <row r="94" spans="1:12" hidden="1" x14ac:dyDescent="0.3">
      <c r="A94" s="1"/>
      <c r="B94" s="1"/>
      <c r="C94" s="1"/>
      <c r="D94" s="1"/>
      <c r="E94" s="1"/>
      <c r="F94" s="1"/>
      <c r="G94" s="1"/>
      <c r="H94" s="1"/>
      <c r="I94" s="1"/>
      <c r="J94" s="1"/>
      <c r="K94" s="1"/>
      <c r="L94" s="1"/>
    </row>
    <row r="95" spans="1:12" hidden="1" x14ac:dyDescent="0.3">
      <c r="A95" s="1"/>
      <c r="B95" s="1"/>
      <c r="C95" s="1"/>
      <c r="D95" s="1"/>
      <c r="E95" s="1"/>
      <c r="F95" s="1"/>
      <c r="G95" s="1"/>
      <c r="H95" s="1"/>
      <c r="I95" s="1"/>
      <c r="J95" s="1"/>
      <c r="K95" s="1"/>
      <c r="L95" s="1"/>
    </row>
    <row r="96" spans="1:12" hidden="1" x14ac:dyDescent="0.3">
      <c r="A96" s="1"/>
      <c r="B96" s="1"/>
      <c r="C96" s="1"/>
      <c r="D96" s="1"/>
      <c r="E96" s="1"/>
      <c r="F96" s="1"/>
      <c r="G96" s="1"/>
      <c r="H96" s="1"/>
      <c r="I96" s="1"/>
      <c r="J96" s="1"/>
      <c r="K96" s="1"/>
      <c r="L96" s="1"/>
    </row>
    <row r="97" spans="1:12" hidden="1" x14ac:dyDescent="0.3">
      <c r="A97" s="1"/>
      <c r="B97" s="1"/>
      <c r="C97" s="1"/>
      <c r="D97" s="1"/>
      <c r="E97" s="1"/>
      <c r="F97" s="1"/>
      <c r="G97" s="1"/>
      <c r="H97" s="1"/>
      <c r="I97" s="1"/>
      <c r="J97" s="1"/>
      <c r="K97" s="1"/>
      <c r="L97" s="1"/>
    </row>
    <row r="98" spans="1:12" hidden="1" x14ac:dyDescent="0.3">
      <c r="A98" s="1"/>
      <c r="B98" s="1"/>
      <c r="C98" s="1"/>
      <c r="D98" s="1"/>
      <c r="E98" s="1"/>
      <c r="F98" s="1"/>
      <c r="G98" s="1"/>
      <c r="H98" s="1"/>
      <c r="I98" s="1"/>
      <c r="J98" s="1"/>
      <c r="K98" s="1"/>
      <c r="L98" s="1"/>
    </row>
    <row r="99" spans="1:12" hidden="1" x14ac:dyDescent="0.3">
      <c r="A99" s="1"/>
      <c r="B99" s="1"/>
      <c r="C99" s="1"/>
      <c r="D99" s="1"/>
      <c r="E99" s="1"/>
      <c r="F99" s="1"/>
      <c r="G99" s="1"/>
      <c r="H99" s="1"/>
      <c r="I99" s="1"/>
      <c r="J99" s="1"/>
      <c r="K99" s="1"/>
      <c r="L99" s="1"/>
    </row>
    <row r="100" spans="1:12" hidden="1" x14ac:dyDescent="0.3">
      <c r="A100" s="1"/>
      <c r="B100" s="1"/>
      <c r="C100" s="1"/>
      <c r="D100" s="1"/>
      <c r="E100" s="1"/>
      <c r="F100" s="1"/>
      <c r="G100" s="1"/>
      <c r="H100" s="1"/>
      <c r="I100" s="1"/>
      <c r="J100" s="1"/>
      <c r="K100" s="1"/>
      <c r="L100" s="1"/>
    </row>
    <row r="101" spans="1:12" hidden="1" x14ac:dyDescent="0.3">
      <c r="A101" s="1"/>
      <c r="B101" s="1"/>
      <c r="C101" s="1"/>
      <c r="D101" s="1"/>
      <c r="E101" s="1"/>
      <c r="F101" s="1"/>
      <c r="G101" s="1"/>
      <c r="H101" s="1"/>
      <c r="I101" s="1"/>
      <c r="J101" s="1"/>
      <c r="K101" s="1"/>
      <c r="L101" s="1"/>
    </row>
    <row r="102" spans="1:12" hidden="1" x14ac:dyDescent="0.3">
      <c r="A102" s="1"/>
      <c r="B102" s="1"/>
      <c r="C102" s="1"/>
      <c r="D102" s="1"/>
      <c r="E102" s="1"/>
      <c r="F102" s="1"/>
      <c r="G102" s="1"/>
      <c r="H102" s="1"/>
      <c r="I102" s="1"/>
      <c r="J102" s="1"/>
      <c r="K102" s="1"/>
      <c r="L102" s="1"/>
    </row>
    <row r="103" spans="1:12" hidden="1" x14ac:dyDescent="0.3">
      <c r="A103" s="44"/>
      <c r="B103" s="44"/>
      <c r="C103" s="44"/>
      <c r="D103" s="44"/>
      <c r="E103" s="44"/>
      <c r="F103" s="44"/>
      <c r="G103" s="44"/>
      <c r="H103" s="44"/>
      <c r="I103" s="44"/>
      <c r="J103" s="44"/>
      <c r="K103" s="44"/>
      <c r="L103" s="44"/>
    </row>
    <row r="104" spans="1:12" hidden="1" x14ac:dyDescent="0.3">
      <c r="A104" s="44"/>
      <c r="B104" s="44"/>
      <c r="C104" s="44"/>
      <c r="D104" s="44"/>
      <c r="E104" s="44"/>
      <c r="F104" s="44"/>
      <c r="G104" s="44"/>
      <c r="H104" s="44"/>
      <c r="I104" s="44"/>
      <c r="J104" s="44"/>
      <c r="K104" s="44"/>
      <c r="L104" s="44"/>
    </row>
    <row r="105" spans="1:12" hidden="1" x14ac:dyDescent="0.3"/>
    <row r="106" spans="1:12" hidden="1" x14ac:dyDescent="0.3"/>
    <row r="107" spans="1:12" hidden="1" x14ac:dyDescent="0.3"/>
    <row r="108" spans="1:12" hidden="1" x14ac:dyDescent="0.3"/>
    <row r="109" spans="1:12" hidden="1" x14ac:dyDescent="0.3"/>
    <row r="110" spans="1:12" hidden="1" x14ac:dyDescent="0.3"/>
    <row r="111" spans="1:12" hidden="1" x14ac:dyDescent="0.3"/>
    <row r="112" spans="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sheetData>
  <sheetProtection algorithmName="SHA-512" hashValue="s6n88qcYgXWi1QgnHKwrUgPleZT1CltvZnosxgd9tN0v1TpHIQa96uauVllKn4T+/4kODxHA+EB3sxV8BAnNZw==" saltValue="xNxn1oBn1BLHmGx2ew7he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6" t="s">
        <v>114</v>
      </c>
      <c r="C3" s="106"/>
      <c r="D3" s="106"/>
      <c r="E3" s="106"/>
      <c r="F3" s="106"/>
      <c r="G3" s="1"/>
    </row>
    <row r="4" spans="1:7" ht="15" customHeight="1" x14ac:dyDescent="0.3">
      <c r="A4" s="1"/>
      <c r="B4" s="106"/>
      <c r="C4" s="106"/>
      <c r="D4" s="106"/>
      <c r="E4" s="106"/>
      <c r="F4" s="106"/>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33" t="s">
        <v>37</v>
      </c>
      <c r="C8" s="28"/>
      <c r="D8" s="28"/>
      <c r="E8" s="28"/>
      <c r="F8" s="19"/>
      <c r="G8" s="1"/>
    </row>
    <row r="9" spans="1:7" ht="17.25" customHeight="1" x14ac:dyDescent="0.3">
      <c r="A9" s="1"/>
      <c r="B9" s="81" t="s">
        <v>17</v>
      </c>
      <c r="C9" s="83" t="s">
        <v>11</v>
      </c>
      <c r="D9" s="82"/>
      <c r="E9" s="83" t="s">
        <v>27</v>
      </c>
      <c r="F9" s="32"/>
      <c r="G9" s="1"/>
    </row>
    <row r="10" spans="1:7" x14ac:dyDescent="0.3">
      <c r="A10" s="1"/>
      <c r="B10" s="24" t="s">
        <v>87</v>
      </c>
      <c r="C10" s="21">
        <f>'Fane 10. Anlægsprojekter (§ 19)'!H67</f>
        <v>0</v>
      </c>
      <c r="D10" s="14" t="s">
        <v>3</v>
      </c>
      <c r="E10" s="9">
        <f>'Fane 10. Anlægsprojekter (§ 19)'!F67+'Fane 10. Anlægsprojekter (§ 19)'!J67</f>
        <v>516645.5416666668</v>
      </c>
      <c r="F10" s="14" t="s">
        <v>3</v>
      </c>
      <c r="G10" s="1"/>
    </row>
    <row r="11" spans="1:7" x14ac:dyDescent="0.3">
      <c r="A11" s="1"/>
      <c r="B11" s="24"/>
      <c r="C11" s="21"/>
      <c r="D11" s="14" t="s">
        <v>3</v>
      </c>
      <c r="E11" s="9"/>
      <c r="F11" s="14" t="s">
        <v>3</v>
      </c>
      <c r="G11" s="1"/>
    </row>
    <row r="12" spans="1:7" x14ac:dyDescent="0.3">
      <c r="A12" s="1"/>
      <c r="B12" s="24"/>
      <c r="C12" s="21"/>
      <c r="D12" s="14" t="s">
        <v>3</v>
      </c>
      <c r="E12" s="9"/>
      <c r="F12" s="14" t="s">
        <v>3</v>
      </c>
      <c r="G12" s="1"/>
    </row>
    <row r="13" spans="1:7" x14ac:dyDescent="0.3">
      <c r="A13" s="1"/>
      <c r="B13" s="24"/>
      <c r="C13" s="21"/>
      <c r="D13" s="14" t="s">
        <v>3</v>
      </c>
      <c r="E13" s="9"/>
      <c r="F13" s="14" t="s">
        <v>3</v>
      </c>
      <c r="G13" s="1"/>
    </row>
    <row r="14" spans="1:7" x14ac:dyDescent="0.3">
      <c r="A14" s="1"/>
      <c r="B14" s="24"/>
      <c r="C14" s="21"/>
      <c r="D14" s="14" t="s">
        <v>3</v>
      </c>
      <c r="E14" s="9"/>
      <c r="F14" s="14" t="s">
        <v>3</v>
      </c>
      <c r="G14" s="1"/>
    </row>
    <row r="15" spans="1:7" x14ac:dyDescent="0.3">
      <c r="A15" s="1"/>
      <c r="B15" s="24"/>
      <c r="C15" s="21"/>
      <c r="D15" s="14" t="s">
        <v>3</v>
      </c>
      <c r="E15" s="9"/>
      <c r="F15" s="14" t="s">
        <v>3</v>
      </c>
      <c r="G15" s="1"/>
    </row>
    <row r="16" spans="1:7" x14ac:dyDescent="0.3">
      <c r="A16" s="1"/>
      <c r="B16" s="24"/>
      <c r="C16" s="21"/>
      <c r="D16" s="14" t="s">
        <v>3</v>
      </c>
      <c r="E16" s="9"/>
      <c r="F16" s="14" t="s">
        <v>3</v>
      </c>
      <c r="G16" s="1"/>
    </row>
    <row r="17" spans="1:7" x14ac:dyDescent="0.3">
      <c r="A17" s="1"/>
      <c r="B17" s="24"/>
      <c r="C17" s="21"/>
      <c r="D17" s="14" t="s">
        <v>3</v>
      </c>
      <c r="E17" s="9"/>
      <c r="F17" s="14" t="s">
        <v>3</v>
      </c>
      <c r="G17" s="1"/>
    </row>
    <row r="18" spans="1:7" x14ac:dyDescent="0.3">
      <c r="A18" s="1"/>
      <c r="B18" s="24"/>
      <c r="C18" s="21"/>
      <c r="D18" s="14" t="s">
        <v>3</v>
      </c>
      <c r="E18" s="9"/>
      <c r="F18" s="14" t="s">
        <v>3</v>
      </c>
      <c r="G18" s="1"/>
    </row>
    <row r="19" spans="1:7" x14ac:dyDescent="0.3">
      <c r="A19" s="1"/>
      <c r="B19" s="33" t="s">
        <v>139</v>
      </c>
      <c r="C19" s="12">
        <f>SUM(C10:C18)</f>
        <v>0</v>
      </c>
      <c r="D19" s="13" t="s">
        <v>3</v>
      </c>
      <c r="E19" s="12">
        <f>SUM(E10:E18)</f>
        <v>516645.5416666668</v>
      </c>
      <c r="F19" s="13" t="s">
        <v>3</v>
      </c>
      <c r="G19" s="1"/>
    </row>
    <row r="20" spans="1:7" x14ac:dyDescent="0.3">
      <c r="A20" s="1"/>
      <c r="B20" s="33" t="s">
        <v>175</v>
      </c>
      <c r="C20" s="12">
        <f>C19*(1+'Fane 15. Nøgletal'!C10)</f>
        <v>0</v>
      </c>
      <c r="D20" s="13" t="s">
        <v>3</v>
      </c>
      <c r="E20" s="12">
        <f>E19*(1+'Fane 15. Nøgletal'!C10)</f>
        <v>550899.14107916679</v>
      </c>
      <c r="F20" s="13" t="s">
        <v>3</v>
      </c>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OLiCcPTk5oosCsC7X6nMDFjlIPDk/acE2b1guFf+Cyxl4/ty5o0WGA96Zik2AtJMxQ9dPUjzfA9BIRnh6RRDOg==" saltValue="nkrsp0TYPelqUsiFDtOcU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44140625" style="2" bestFit="1"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6" t="s">
        <v>115</v>
      </c>
      <c r="C3" s="106"/>
      <c r="D3" s="106"/>
      <c r="E3" s="106"/>
      <c r="F3" s="106"/>
      <c r="G3" s="1"/>
    </row>
    <row r="4" spans="1:7" ht="15" customHeight="1" x14ac:dyDescent="0.3">
      <c r="A4" s="1"/>
      <c r="B4" s="106"/>
      <c r="C4" s="106"/>
      <c r="D4" s="106"/>
      <c r="E4" s="106"/>
      <c r="F4" s="106"/>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10" t="s">
        <v>176</v>
      </c>
      <c r="C8" s="111"/>
      <c r="D8" s="111"/>
      <c r="E8" s="111"/>
      <c r="F8" s="112"/>
      <c r="G8" s="1"/>
    </row>
    <row r="9" spans="1:7" x14ac:dyDescent="0.3">
      <c r="A9" s="1"/>
      <c r="B9" s="81" t="s">
        <v>17</v>
      </c>
      <c r="C9" s="83" t="s">
        <v>11</v>
      </c>
      <c r="D9" s="82"/>
      <c r="E9" s="83" t="s">
        <v>27</v>
      </c>
      <c r="F9" s="32"/>
      <c r="G9" s="1"/>
    </row>
    <row r="10" spans="1:7" x14ac:dyDescent="0.3">
      <c r="A10" s="1"/>
      <c r="B10" s="24" t="s">
        <v>289</v>
      </c>
      <c r="C10" s="21">
        <v>0</v>
      </c>
      <c r="D10" s="14" t="s">
        <v>3</v>
      </c>
      <c r="E10" s="9">
        <v>0</v>
      </c>
      <c r="F10" s="14" t="s">
        <v>3</v>
      </c>
      <c r="G10" s="1"/>
    </row>
    <row r="11" spans="1:7" x14ac:dyDescent="0.3">
      <c r="A11" s="1"/>
      <c r="B11" s="24"/>
      <c r="C11" s="21"/>
      <c r="D11" s="14" t="s">
        <v>3</v>
      </c>
      <c r="E11" s="9"/>
      <c r="F11" s="14" t="s">
        <v>3</v>
      </c>
      <c r="G11" s="1"/>
    </row>
    <row r="12" spans="1:7" x14ac:dyDescent="0.3">
      <c r="A12" s="1"/>
      <c r="B12" s="24"/>
      <c r="C12" s="21"/>
      <c r="D12" s="14" t="s">
        <v>3</v>
      </c>
      <c r="E12" s="9"/>
      <c r="F12" s="14" t="s">
        <v>3</v>
      </c>
      <c r="G12" s="1"/>
    </row>
    <row r="13" spans="1:7" x14ac:dyDescent="0.3">
      <c r="A13" s="1"/>
      <c r="B13" s="33" t="s">
        <v>177</v>
      </c>
      <c r="C13" s="12">
        <f>SUM(C10:C12)</f>
        <v>0</v>
      </c>
      <c r="D13" s="13" t="s">
        <v>3</v>
      </c>
      <c r="E13" s="12">
        <f>SUM(E10:E12)</f>
        <v>0</v>
      </c>
      <c r="F13" s="13" t="s">
        <v>3</v>
      </c>
      <c r="G13" s="1"/>
    </row>
    <row r="14" spans="1:7" x14ac:dyDescent="0.3">
      <c r="A14" s="1"/>
      <c r="B14" s="33" t="s">
        <v>178</v>
      </c>
      <c r="C14" s="12">
        <f>C13*(1+'Fane 15. Nøgletal'!C10)^2</f>
        <v>0</v>
      </c>
      <c r="D14" s="13" t="s">
        <v>3</v>
      </c>
      <c r="E14" s="12">
        <f>E13*(1+'Fane 15. Nøgletal'!C10)^2</f>
        <v>0</v>
      </c>
      <c r="F14" s="13" t="s">
        <v>3</v>
      </c>
      <c r="G14" s="1"/>
    </row>
    <row r="15" spans="1:7" x14ac:dyDescent="0.3">
      <c r="A15" s="1"/>
      <c r="B15" s="1"/>
      <c r="C15" s="1"/>
      <c r="D15" s="1"/>
      <c r="E15" s="1"/>
      <c r="F15" s="1"/>
      <c r="G15" s="1"/>
    </row>
    <row r="16" spans="1:7" x14ac:dyDescent="0.3">
      <c r="A16" s="1"/>
      <c r="B16" s="129"/>
      <c r="C16" s="129"/>
      <c r="D16" s="129"/>
      <c r="E16" s="129"/>
      <c r="F16" s="129"/>
      <c r="G16" s="1"/>
    </row>
    <row r="17" spans="1:7" x14ac:dyDescent="0.3">
      <c r="A17" s="1"/>
      <c r="B17" s="47"/>
      <c r="C17" s="47"/>
      <c r="D17" s="47"/>
      <c r="E17" s="47"/>
      <c r="F17" s="48"/>
      <c r="G17" s="1"/>
    </row>
    <row r="18" spans="1:7" x14ac:dyDescent="0.3">
      <c r="A18" s="1"/>
      <c r="B18" s="49"/>
      <c r="C18" s="50"/>
      <c r="D18" s="51"/>
      <c r="E18" s="52"/>
      <c r="F18" s="51"/>
      <c r="G18" s="1"/>
    </row>
    <row r="19" spans="1:7" x14ac:dyDescent="0.3">
      <c r="A19" s="1"/>
      <c r="B19" s="49"/>
      <c r="C19" s="50"/>
      <c r="D19" s="51"/>
      <c r="E19" s="52"/>
      <c r="F19" s="51"/>
      <c r="G19" s="1"/>
    </row>
    <row r="20" spans="1:7" x14ac:dyDescent="0.3">
      <c r="A20" s="1"/>
      <c r="B20" s="53"/>
      <c r="C20" s="54"/>
      <c r="D20" s="55"/>
      <c r="E20" s="54"/>
      <c r="F20" s="55"/>
      <c r="G20" s="1"/>
    </row>
    <row r="21" spans="1:7" x14ac:dyDescent="0.3">
      <c r="A21" s="1"/>
      <c r="B21" s="53"/>
      <c r="C21" s="54"/>
      <c r="D21" s="55"/>
      <c r="E21" s="54"/>
      <c r="F21" s="55"/>
      <c r="G21" s="1"/>
    </row>
    <row r="22" spans="1:7" x14ac:dyDescent="0.3">
      <c r="A22" s="1"/>
      <c r="B22" s="46"/>
      <c r="C22" s="46"/>
      <c r="D22" s="46"/>
      <c r="E22" s="46"/>
      <c r="F22" s="46"/>
      <c r="G22" s="1"/>
    </row>
    <row r="23" spans="1:7" x14ac:dyDescent="0.3">
      <c r="A23" s="1"/>
      <c r="B23" s="47"/>
      <c r="C23" s="47"/>
      <c r="D23" s="47"/>
      <c r="E23" s="47"/>
      <c r="F23" s="48"/>
      <c r="G23" s="1"/>
    </row>
    <row r="24" spans="1:7" x14ac:dyDescent="0.3">
      <c r="A24" s="1"/>
      <c r="B24" s="49"/>
      <c r="C24" s="50"/>
      <c r="D24" s="51"/>
      <c r="E24" s="52"/>
      <c r="F24" s="51"/>
      <c r="G24" s="1"/>
    </row>
    <row r="25" spans="1:7" x14ac:dyDescent="0.3">
      <c r="A25" s="1"/>
      <c r="B25" s="49"/>
      <c r="C25" s="50"/>
      <c r="D25" s="51"/>
      <c r="E25" s="52"/>
      <c r="F25" s="51"/>
      <c r="G25" s="1"/>
    </row>
    <row r="26" spans="1:7" x14ac:dyDescent="0.3">
      <c r="A26" s="1"/>
      <c r="B26" s="53"/>
      <c r="C26" s="54"/>
      <c r="D26" s="55"/>
      <c r="E26" s="54"/>
      <c r="F26" s="55"/>
      <c r="G26" s="1"/>
    </row>
    <row r="27" spans="1:7" x14ac:dyDescent="0.3">
      <c r="A27" s="1"/>
      <c r="B27" s="53"/>
      <c r="C27" s="54"/>
      <c r="D27" s="55"/>
      <c r="E27" s="54"/>
      <c r="F27" s="55"/>
      <c r="G27" s="1"/>
    </row>
    <row r="28" spans="1:7" x14ac:dyDescent="0.3">
      <c r="A28" s="1"/>
      <c r="B28" s="46"/>
      <c r="C28" s="46"/>
      <c r="D28" s="46"/>
      <c r="E28" s="46"/>
      <c r="F28" s="46"/>
      <c r="G28" s="1"/>
    </row>
    <row r="29" spans="1:7" x14ac:dyDescent="0.3">
      <c r="A29" s="1"/>
      <c r="B29" s="129"/>
      <c r="C29" s="129"/>
      <c r="D29" s="129"/>
      <c r="E29" s="129"/>
      <c r="F29" s="129"/>
      <c r="G29" s="1"/>
    </row>
    <row r="30" spans="1:7" x14ac:dyDescent="0.3">
      <c r="A30" s="1"/>
      <c r="B30" s="47"/>
      <c r="C30" s="47"/>
      <c r="D30" s="47"/>
      <c r="E30" s="47"/>
      <c r="F30" s="48"/>
      <c r="G30" s="1"/>
    </row>
    <row r="31" spans="1:7" x14ac:dyDescent="0.3">
      <c r="A31" s="1"/>
      <c r="B31" s="49"/>
      <c r="C31" s="50"/>
      <c r="D31" s="51"/>
      <c r="E31" s="52"/>
      <c r="F31" s="51"/>
      <c r="G31" s="1"/>
    </row>
    <row r="32" spans="1:7" x14ac:dyDescent="0.3">
      <c r="A32" s="1"/>
      <c r="B32" s="49"/>
      <c r="C32" s="50"/>
      <c r="D32" s="51"/>
      <c r="E32" s="52"/>
      <c r="F32" s="51"/>
      <c r="G32" s="1"/>
    </row>
    <row r="33" spans="1:7" x14ac:dyDescent="0.3">
      <c r="A33" s="1"/>
      <c r="B33" s="53"/>
      <c r="C33" s="54"/>
      <c r="D33" s="55"/>
      <c r="E33" s="54"/>
      <c r="F33" s="55"/>
      <c r="G33" s="1"/>
    </row>
    <row r="34" spans="1:7" x14ac:dyDescent="0.3">
      <c r="A34" s="1"/>
      <c r="B34" s="53"/>
      <c r="C34" s="54"/>
      <c r="D34" s="55"/>
      <c r="E34" s="54"/>
      <c r="F34" s="55"/>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AZeuU6EvLNFttW9JVNCBtw7zR+03yrccFtGhezT0nfZBHkXJ1MTxGQcnKTq9XEaHau55zGLyyxuIV3zX8bF0lg==" saltValue="53jNVgeKLrokBlsqH1VKe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9" t="s">
        <v>116</v>
      </c>
      <c r="C3" s="109"/>
      <c r="D3" s="109"/>
      <c r="E3" s="1"/>
    </row>
    <row r="4" spans="1:5" ht="15" customHeight="1" x14ac:dyDescent="0.3">
      <c r="A4" s="1"/>
      <c r="B4" s="109"/>
      <c r="C4" s="109"/>
      <c r="D4" s="109"/>
      <c r="E4" s="1"/>
    </row>
    <row r="5" spans="1:5" x14ac:dyDescent="0.3">
      <c r="A5" s="1"/>
      <c r="B5" s="109"/>
      <c r="C5" s="109"/>
      <c r="D5" s="109"/>
      <c r="E5" s="1"/>
    </row>
    <row r="6" spans="1:5" x14ac:dyDescent="0.3">
      <c r="A6" s="1"/>
      <c r="B6" s="1"/>
      <c r="C6" s="1"/>
      <c r="D6" s="1"/>
      <c r="E6" s="1"/>
    </row>
    <row r="7" spans="1:5" x14ac:dyDescent="0.3">
      <c r="A7" s="1"/>
      <c r="B7" s="1"/>
      <c r="C7" s="1"/>
      <c r="D7" s="1"/>
      <c r="E7" s="1"/>
    </row>
    <row r="8" spans="1:5" ht="14.25" customHeight="1" x14ac:dyDescent="0.3">
      <c r="A8" s="1"/>
      <c r="B8" s="110" t="s">
        <v>73</v>
      </c>
      <c r="C8" s="111"/>
      <c r="D8" s="112"/>
      <c r="E8" s="1"/>
    </row>
    <row r="9" spans="1:5" x14ac:dyDescent="0.3">
      <c r="A9" s="1"/>
      <c r="B9" s="68" t="s">
        <v>179</v>
      </c>
      <c r="C9" s="9">
        <v>0</v>
      </c>
      <c r="D9" s="14" t="s">
        <v>3</v>
      </c>
      <c r="E9" s="1"/>
    </row>
    <row r="10" spans="1:5" x14ac:dyDescent="0.3">
      <c r="A10" s="1"/>
      <c r="B10" s="64" t="s">
        <v>10</v>
      </c>
      <c r="C10" s="9">
        <f>-C9*'Fane 5. Individuelt eff. krav'!C9</f>
        <v>0</v>
      </c>
      <c r="D10" s="14" t="s">
        <v>3</v>
      </c>
      <c r="E10" s="1"/>
    </row>
    <row r="11" spans="1:5" x14ac:dyDescent="0.3">
      <c r="A11" s="1"/>
      <c r="B11" s="64" t="s">
        <v>22</v>
      </c>
      <c r="C11" s="9">
        <f>-C9*'Fane 15. Nøgletal'!C21</f>
        <v>0</v>
      </c>
      <c r="D11" s="14" t="s">
        <v>3</v>
      </c>
      <c r="E11" s="1"/>
    </row>
    <row r="12" spans="1:5" x14ac:dyDescent="0.3">
      <c r="A12" s="1"/>
      <c r="B12" s="77" t="s">
        <v>74</v>
      </c>
      <c r="C12" s="12">
        <f>SUM(C9:C11)*(1+'Fane 15. Nøgletal'!C9)^2</f>
        <v>0</v>
      </c>
      <c r="D12" s="13" t="s">
        <v>3</v>
      </c>
      <c r="E12" s="1"/>
    </row>
    <row r="13" spans="1:5" x14ac:dyDescent="0.3">
      <c r="A13" s="1"/>
      <c r="B13" s="1"/>
      <c r="C13" s="1"/>
      <c r="D13" s="1"/>
      <c r="E13" s="1"/>
    </row>
    <row r="14" spans="1:5" ht="15" customHeight="1" x14ac:dyDescent="0.3">
      <c r="A14" s="1"/>
      <c r="B14" s="110" t="s">
        <v>84</v>
      </c>
      <c r="C14" s="111"/>
      <c r="D14" s="112"/>
      <c r="E14" s="1"/>
    </row>
    <row r="15" spans="1:5" x14ac:dyDescent="0.3">
      <c r="A15" s="1"/>
      <c r="B15" s="68" t="s">
        <v>179</v>
      </c>
      <c r="C15" s="9">
        <v>0</v>
      </c>
      <c r="D15" s="14" t="s">
        <v>3</v>
      </c>
      <c r="E15" s="1"/>
    </row>
    <row r="16" spans="1:5" x14ac:dyDescent="0.3">
      <c r="A16" s="1"/>
      <c r="B16" s="64" t="s">
        <v>10</v>
      </c>
      <c r="C16" s="9">
        <f>-C15*'Fane 5. Individuelt eff. krav'!C9</f>
        <v>0</v>
      </c>
      <c r="D16" s="14" t="s">
        <v>3</v>
      </c>
      <c r="E16" s="1"/>
    </row>
    <row r="17" spans="1:5" x14ac:dyDescent="0.3">
      <c r="A17" s="1"/>
      <c r="B17" s="64" t="s">
        <v>22</v>
      </c>
      <c r="C17" s="9">
        <f>-C15*'Fane 15. Nøgletal'!C21</f>
        <v>0</v>
      </c>
      <c r="D17" s="14" t="s">
        <v>3</v>
      </c>
      <c r="E17" s="1"/>
    </row>
    <row r="18" spans="1:5" x14ac:dyDescent="0.3">
      <c r="A18" s="1"/>
      <c r="B18" s="77" t="s">
        <v>85</v>
      </c>
      <c r="C18" s="12">
        <f>SUM(C15:C17)*(1+'Fane 15. Nøgletal'!C10)^3</f>
        <v>0</v>
      </c>
      <c r="D18" s="13" t="s">
        <v>3</v>
      </c>
      <c r="E18" s="1"/>
    </row>
    <row r="19" spans="1:5" x14ac:dyDescent="0.3">
      <c r="A19" s="1"/>
      <c r="B19" s="1"/>
      <c r="C19" s="1"/>
      <c r="D19" s="1"/>
      <c r="E19" s="1"/>
    </row>
    <row r="20" spans="1:5" ht="15" customHeight="1" x14ac:dyDescent="0.3">
      <c r="A20" s="1"/>
      <c r="B20" s="110" t="s">
        <v>140</v>
      </c>
      <c r="C20" s="111"/>
      <c r="D20" s="112"/>
      <c r="E20" s="1"/>
    </row>
    <row r="21" spans="1:5" x14ac:dyDescent="0.3">
      <c r="A21" s="1"/>
      <c r="B21" s="68" t="s">
        <v>179</v>
      </c>
      <c r="C21" s="9">
        <v>0</v>
      </c>
      <c r="D21" s="14" t="s">
        <v>3</v>
      </c>
      <c r="E21" s="1"/>
    </row>
    <row r="22" spans="1:5" x14ac:dyDescent="0.3">
      <c r="A22" s="1"/>
      <c r="B22" s="64" t="s">
        <v>10</v>
      </c>
      <c r="C22" s="9">
        <f>-C21*'Fane 5. Individuelt eff. krav'!C9</f>
        <v>0</v>
      </c>
      <c r="D22" s="14" t="s">
        <v>3</v>
      </c>
      <c r="E22" s="1"/>
    </row>
    <row r="23" spans="1:5" x14ac:dyDescent="0.3">
      <c r="A23" s="1"/>
      <c r="B23" s="64" t="s">
        <v>22</v>
      </c>
      <c r="C23" s="9">
        <f>-C21*'Fane 15. Nøgletal'!C21</f>
        <v>0</v>
      </c>
      <c r="D23" s="14" t="s">
        <v>3</v>
      </c>
      <c r="E23" s="1"/>
    </row>
    <row r="24" spans="1:5" x14ac:dyDescent="0.3">
      <c r="A24" s="1"/>
      <c r="B24" s="77" t="s">
        <v>141</v>
      </c>
      <c r="C24" s="12">
        <f>SUM(C21:C23)*(1+'Fane 15. Nøgletal'!C10)^4</f>
        <v>0</v>
      </c>
      <c r="D24" s="13" t="s">
        <v>3</v>
      </c>
      <c r="E24" s="1"/>
    </row>
    <row r="25" spans="1:5" x14ac:dyDescent="0.3">
      <c r="A25" s="1"/>
      <c r="B25" s="1"/>
      <c r="C25" s="1"/>
      <c r="D25" s="1"/>
      <c r="E25" s="1"/>
    </row>
    <row r="26" spans="1:5" ht="15" customHeight="1" x14ac:dyDescent="0.3">
      <c r="A26" s="1"/>
      <c r="B26" s="110" t="s">
        <v>180</v>
      </c>
      <c r="C26" s="111"/>
      <c r="D26" s="112"/>
      <c r="E26" s="1"/>
    </row>
    <row r="27" spans="1:5" ht="14.25" customHeight="1" x14ac:dyDescent="0.3">
      <c r="A27" s="1"/>
      <c r="B27" s="68" t="s">
        <v>179</v>
      </c>
      <c r="C27" s="9">
        <v>0</v>
      </c>
      <c r="D27" s="14" t="s">
        <v>3</v>
      </c>
      <c r="E27" s="1"/>
    </row>
    <row r="28" spans="1:5" x14ac:dyDescent="0.3">
      <c r="A28" s="1"/>
      <c r="B28" s="64" t="s">
        <v>10</v>
      </c>
      <c r="C28" s="9">
        <f>-C27*'Fane 5. Individuelt eff. krav'!C9</f>
        <v>0</v>
      </c>
      <c r="D28" s="14" t="s">
        <v>3</v>
      </c>
      <c r="E28" s="1"/>
    </row>
    <row r="29" spans="1:5" x14ac:dyDescent="0.3">
      <c r="A29" s="1"/>
      <c r="B29" s="64" t="s">
        <v>22</v>
      </c>
      <c r="C29" s="9">
        <f>-C27*'Fane 15. Nøgletal'!C21</f>
        <v>0</v>
      </c>
      <c r="D29" s="14" t="s">
        <v>3</v>
      </c>
      <c r="E29" s="1"/>
    </row>
    <row r="30" spans="1:5" x14ac:dyDescent="0.3">
      <c r="A30" s="1"/>
      <c r="B30" s="77" t="s">
        <v>181</v>
      </c>
      <c r="C30" s="12">
        <f>SUM(C27:C29)*(1+'Fane 15. Nøgletal'!C10)^5</f>
        <v>0</v>
      </c>
      <c r="D30" s="13" t="s">
        <v>3</v>
      </c>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uFNpGtkUYP6D6ngklD6rGFH8LLTrYR6YTEdvmOeFYP2xNhKaqJFDj8EQOK6hWtI/VgVEoVaSOW10ao6S9fH5Ug==" saltValue="Hmy5aDqQsJbnZfhKv2sqk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9" t="s">
        <v>117</v>
      </c>
      <c r="C3" s="109"/>
      <c r="D3" s="109"/>
      <c r="E3" s="109"/>
      <c r="F3" s="109"/>
      <c r="G3" s="1"/>
    </row>
    <row r="4" spans="1:7" ht="15" customHeight="1" x14ac:dyDescent="0.3">
      <c r="A4" s="1"/>
      <c r="B4" s="109"/>
      <c r="C4" s="109"/>
      <c r="D4" s="109"/>
      <c r="E4" s="109"/>
      <c r="F4" s="109"/>
      <c r="G4" s="1"/>
    </row>
    <row r="5" spans="1:7" x14ac:dyDescent="0.3">
      <c r="A5" s="1"/>
      <c r="B5" s="109"/>
      <c r="C5" s="109"/>
      <c r="D5" s="109"/>
      <c r="E5" s="109"/>
      <c r="F5" s="109"/>
      <c r="G5" s="1"/>
    </row>
    <row r="6" spans="1:7" x14ac:dyDescent="0.3">
      <c r="A6" s="1"/>
      <c r="B6" s="1"/>
      <c r="C6" s="1"/>
      <c r="D6" s="1"/>
      <c r="E6" s="1"/>
      <c r="F6" s="1"/>
      <c r="G6" s="1"/>
    </row>
    <row r="7" spans="1:7" x14ac:dyDescent="0.3">
      <c r="A7" s="1"/>
      <c r="B7" s="1"/>
      <c r="C7" s="1"/>
      <c r="D7" s="1"/>
      <c r="E7" s="1"/>
      <c r="F7" s="1"/>
      <c r="G7" s="1"/>
    </row>
    <row r="8" spans="1:7" x14ac:dyDescent="0.3">
      <c r="A8" s="1"/>
      <c r="B8" s="110" t="s">
        <v>66</v>
      </c>
      <c r="C8" s="111"/>
      <c r="D8" s="111"/>
      <c r="E8" s="111"/>
      <c r="F8" s="112"/>
      <c r="G8" s="1"/>
    </row>
    <row r="9" spans="1:7" ht="15" customHeight="1" x14ac:dyDescent="0.3">
      <c r="A9" s="1"/>
      <c r="B9" s="31" t="s">
        <v>67</v>
      </c>
      <c r="C9" s="27" t="s">
        <v>11</v>
      </c>
      <c r="D9" s="32"/>
      <c r="E9" s="27" t="s">
        <v>27</v>
      </c>
      <c r="F9" s="32"/>
      <c r="G9" s="1"/>
    </row>
    <row r="10" spans="1:7" ht="27" x14ac:dyDescent="0.3">
      <c r="A10" s="1"/>
      <c r="B10" s="70" t="s">
        <v>222</v>
      </c>
      <c r="C10" s="9">
        <v>0</v>
      </c>
      <c r="D10" s="14" t="s">
        <v>3</v>
      </c>
      <c r="E10" s="9">
        <v>0</v>
      </c>
      <c r="F10" s="14" t="s">
        <v>3</v>
      </c>
      <c r="G10" s="1"/>
    </row>
    <row r="11" spans="1:7" ht="28.5" customHeight="1" x14ac:dyDescent="0.3">
      <c r="A11" s="1"/>
      <c r="B11" s="20" t="s">
        <v>142</v>
      </c>
      <c r="C11" s="12">
        <f>SUM(C10:C10)</f>
        <v>0</v>
      </c>
      <c r="D11" s="13" t="s">
        <v>3</v>
      </c>
      <c r="E11" s="12">
        <f>SUM(E10:E10)</f>
        <v>0</v>
      </c>
      <c r="F11" s="13" t="s">
        <v>3</v>
      </c>
      <c r="G11" s="1"/>
    </row>
    <row r="12" spans="1:7" ht="27" customHeight="1" x14ac:dyDescent="0.3">
      <c r="A12" s="1"/>
      <c r="B12" s="20" t="s">
        <v>182</v>
      </c>
      <c r="C12" s="12">
        <f>C11*(1+'Fane 15. Nøgletal'!C10)</f>
        <v>0</v>
      </c>
      <c r="D12" s="13" t="s">
        <v>3</v>
      </c>
      <c r="E12" s="12">
        <f>E11*(1+'Fane 15. Nøgletal'!C10)</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hidden="1" x14ac:dyDescent="0.3"/>
    <row r="47" spans="1:7" hidden="1" x14ac:dyDescent="0.3"/>
  </sheetData>
  <sheetProtection algorithmName="SHA-512" hashValue="Egx5MtHRyX3mMh5ahFr65DLix0eijv4W4WiJu48a3qmlZ7eXHFR0LnxAyD2iEt4MxZeJdE2JAgNY0ZWtdiFxCA==" saltValue="nEuuIEhGWY7lrYyTtLj5t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4.4" zeroHeight="1" x14ac:dyDescent="0.3"/>
  <cols>
    <col min="1" max="1" width="5.10937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1093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9" t="s">
        <v>118</v>
      </c>
      <c r="C3" s="109"/>
      <c r="D3" s="109"/>
      <c r="E3" s="109"/>
      <c r="F3" s="109"/>
      <c r="G3" s="1"/>
    </row>
    <row r="4" spans="1:7" ht="15" customHeight="1" x14ac:dyDescent="0.3">
      <c r="A4" s="1"/>
      <c r="B4" s="109"/>
      <c r="C4" s="109"/>
      <c r="D4" s="109"/>
      <c r="E4" s="109"/>
      <c r="F4" s="109"/>
      <c r="G4" s="1"/>
    </row>
    <row r="5" spans="1:7" x14ac:dyDescent="0.3">
      <c r="A5" s="1"/>
      <c r="B5" s="109"/>
      <c r="C5" s="109"/>
      <c r="D5" s="109"/>
      <c r="E5" s="109"/>
      <c r="F5" s="109"/>
      <c r="G5" s="1"/>
    </row>
    <row r="6" spans="1:7" x14ac:dyDescent="0.3">
      <c r="A6" s="1"/>
      <c r="B6" s="1"/>
      <c r="C6" s="1"/>
      <c r="D6" s="1"/>
      <c r="E6" s="1"/>
      <c r="F6" s="1"/>
      <c r="G6" s="1"/>
    </row>
    <row r="7" spans="1:7" x14ac:dyDescent="0.3">
      <c r="A7" s="1"/>
      <c r="B7" s="1"/>
      <c r="C7" s="1"/>
      <c r="D7" s="1"/>
      <c r="E7" s="1"/>
      <c r="F7" s="1"/>
      <c r="G7" s="1"/>
    </row>
    <row r="8" spans="1:7" ht="15" customHeight="1" x14ac:dyDescent="0.3">
      <c r="A8" s="1"/>
      <c r="B8" s="110" t="s">
        <v>183</v>
      </c>
      <c r="C8" s="111"/>
      <c r="D8" s="111"/>
      <c r="E8" s="111"/>
      <c r="F8" s="112"/>
      <c r="G8" s="1"/>
    </row>
    <row r="9" spans="1:7" x14ac:dyDescent="0.3">
      <c r="A9" s="1"/>
      <c r="B9" s="31" t="s">
        <v>18</v>
      </c>
      <c r="C9" s="130" t="s">
        <v>11</v>
      </c>
      <c r="D9" s="131"/>
      <c r="E9" s="130" t="s">
        <v>27</v>
      </c>
      <c r="F9" s="131"/>
      <c r="G9" s="1"/>
    </row>
    <row r="10" spans="1:7" x14ac:dyDescent="0.3">
      <c r="A10" s="1"/>
      <c r="B10" s="70" t="s">
        <v>223</v>
      </c>
      <c r="C10" s="9">
        <v>0</v>
      </c>
      <c r="D10" s="14" t="s">
        <v>3</v>
      </c>
      <c r="E10" s="9">
        <v>0</v>
      </c>
      <c r="F10" s="14" t="s">
        <v>3</v>
      </c>
      <c r="G10" s="1"/>
    </row>
    <row r="11" spans="1:7" x14ac:dyDescent="0.3">
      <c r="A11" s="1"/>
      <c r="B11" s="33" t="s">
        <v>143</v>
      </c>
      <c r="C11" s="12">
        <f>SUM(C10:C10)</f>
        <v>0</v>
      </c>
      <c r="D11" s="13" t="s">
        <v>3</v>
      </c>
      <c r="E11" s="12">
        <f>SUM(E10:E10)</f>
        <v>0</v>
      </c>
      <c r="F11" s="13" t="s">
        <v>3</v>
      </c>
      <c r="G11" s="1"/>
    </row>
    <row r="12" spans="1:7" x14ac:dyDescent="0.3">
      <c r="A12" s="1"/>
      <c r="B12" s="33" t="s">
        <v>216</v>
      </c>
      <c r="C12" s="12">
        <f>C11*(1+'Fane 15. Nøgletal'!C10)^2</f>
        <v>0</v>
      </c>
      <c r="D12" s="13" t="s">
        <v>3</v>
      </c>
      <c r="E12" s="12">
        <f>E11*(1+'Fane 15. Nøgletal'!C10)^2</f>
        <v>0</v>
      </c>
      <c r="F12" s="13" t="s">
        <v>3</v>
      </c>
      <c r="G12" s="1"/>
    </row>
    <row r="13" spans="1:7" x14ac:dyDescent="0.3">
      <c r="A13" s="1"/>
      <c r="B13" s="1"/>
      <c r="C13" s="1"/>
      <c r="D13" s="1"/>
      <c r="E13" s="1"/>
      <c r="F13" s="1"/>
      <c r="G13" s="1"/>
    </row>
    <row r="14" spans="1:7" x14ac:dyDescent="0.3">
      <c r="A14" s="1"/>
      <c r="B14" s="129"/>
      <c r="C14" s="129"/>
      <c r="D14" s="129"/>
      <c r="E14" s="129"/>
      <c r="F14" s="129"/>
      <c r="G14" s="1"/>
    </row>
    <row r="15" spans="1:7" x14ac:dyDescent="0.3">
      <c r="A15" s="1"/>
      <c r="B15" s="48"/>
      <c r="C15" s="48"/>
      <c r="D15" s="48"/>
      <c r="E15" s="48"/>
      <c r="F15" s="48"/>
      <c r="G15" s="1"/>
    </row>
    <row r="16" spans="1:7" x14ac:dyDescent="0.3">
      <c r="A16" s="1"/>
      <c r="B16" s="49"/>
      <c r="C16" s="52"/>
      <c r="D16" s="51"/>
      <c r="E16" s="52"/>
      <c r="F16" s="51"/>
      <c r="G16" s="1"/>
    </row>
    <row r="17" spans="1:7" x14ac:dyDescent="0.3">
      <c r="A17" s="1"/>
      <c r="B17" s="49"/>
      <c r="C17" s="52"/>
      <c r="D17" s="51"/>
      <c r="E17" s="52"/>
      <c r="F17" s="51"/>
      <c r="G17" s="1"/>
    </row>
    <row r="18" spans="1:7" x14ac:dyDescent="0.3">
      <c r="A18" s="1"/>
      <c r="B18" s="53"/>
      <c r="C18" s="54"/>
      <c r="D18" s="55"/>
      <c r="E18" s="54"/>
      <c r="F18" s="55"/>
      <c r="G18" s="1"/>
    </row>
    <row r="19" spans="1:7" x14ac:dyDescent="0.3">
      <c r="A19" s="1"/>
      <c r="B19" s="53"/>
      <c r="C19" s="54"/>
      <c r="D19" s="55"/>
      <c r="E19" s="54"/>
      <c r="F19" s="55"/>
      <c r="G19" s="1"/>
    </row>
    <row r="20" spans="1:7" x14ac:dyDescent="0.3">
      <c r="A20" s="1"/>
      <c r="B20" s="46"/>
      <c r="C20" s="46"/>
      <c r="D20" s="46"/>
      <c r="E20" s="46"/>
      <c r="F20" s="46"/>
      <c r="G20" s="1"/>
    </row>
    <row r="21" spans="1:7" x14ac:dyDescent="0.3">
      <c r="A21" s="1"/>
      <c r="B21" s="129"/>
      <c r="C21" s="129"/>
      <c r="D21" s="129"/>
      <c r="E21" s="129"/>
      <c r="F21" s="129"/>
      <c r="G21" s="1"/>
    </row>
    <row r="22" spans="1:7" x14ac:dyDescent="0.3">
      <c r="A22" s="1"/>
      <c r="B22" s="48"/>
      <c r="C22" s="48"/>
      <c r="D22" s="48"/>
      <c r="E22" s="48"/>
      <c r="F22" s="48"/>
      <c r="G22" s="1"/>
    </row>
    <row r="23" spans="1:7" x14ac:dyDescent="0.3">
      <c r="A23" s="1"/>
      <c r="B23" s="49"/>
      <c r="C23" s="52"/>
      <c r="D23" s="51"/>
      <c r="E23" s="52"/>
      <c r="F23" s="51"/>
      <c r="G23" s="1"/>
    </row>
    <row r="24" spans="1:7" x14ac:dyDescent="0.3">
      <c r="A24" s="1"/>
      <c r="B24" s="53"/>
      <c r="C24" s="54"/>
      <c r="D24" s="55"/>
      <c r="E24" s="54"/>
      <c r="F24" s="55"/>
      <c r="G24" s="1"/>
    </row>
    <row r="25" spans="1:7" x14ac:dyDescent="0.3">
      <c r="A25" s="1"/>
      <c r="B25" s="53"/>
      <c r="C25" s="54"/>
      <c r="D25" s="55"/>
      <c r="E25" s="54"/>
      <c r="F25" s="55"/>
      <c r="G25" s="1"/>
    </row>
    <row r="26" spans="1:7" x14ac:dyDescent="0.3">
      <c r="A26" s="1"/>
      <c r="B26" s="46"/>
      <c r="C26" s="46"/>
      <c r="D26" s="46"/>
      <c r="E26" s="46"/>
      <c r="F26" s="46"/>
      <c r="G26" s="1"/>
    </row>
    <row r="27" spans="1:7" x14ac:dyDescent="0.3">
      <c r="A27" s="1"/>
      <c r="B27" s="129"/>
      <c r="C27" s="129"/>
      <c r="D27" s="129"/>
      <c r="E27" s="129"/>
      <c r="F27" s="129"/>
      <c r="G27" s="1"/>
    </row>
    <row r="28" spans="1:7" x14ac:dyDescent="0.3">
      <c r="A28" s="1"/>
      <c r="B28" s="48"/>
      <c r="C28" s="48"/>
      <c r="D28" s="48"/>
      <c r="E28" s="48"/>
      <c r="F28" s="48"/>
      <c r="G28" s="1"/>
    </row>
    <row r="29" spans="1:7" x14ac:dyDescent="0.3">
      <c r="A29" s="1"/>
      <c r="B29" s="49"/>
      <c r="C29" s="52"/>
      <c r="D29" s="51"/>
      <c r="E29" s="52"/>
      <c r="F29" s="51"/>
      <c r="G29" s="1"/>
    </row>
    <row r="30" spans="1:7" x14ac:dyDescent="0.3">
      <c r="A30" s="1"/>
      <c r="B30" s="53"/>
      <c r="C30" s="54"/>
      <c r="D30" s="55"/>
      <c r="E30" s="54"/>
      <c r="F30" s="55"/>
      <c r="G30" s="1"/>
    </row>
    <row r="31" spans="1:7" x14ac:dyDescent="0.3">
      <c r="A31" s="1"/>
      <c r="B31" s="53"/>
      <c r="C31" s="54"/>
      <c r="D31" s="55"/>
      <c r="E31" s="54"/>
      <c r="F31" s="55"/>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SD2Gza+L2TvFEcV5nlDVUcFZ9fB1txK2Zj29ClRuBuadF/aHw8rUhjwuW0rwoaBYPSp1+MxJh3C9n57sGwMfPQ==" saltValue="9xdSvpYCuIKICdPdicU4i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155</v>
      </c>
      <c r="C3" s="106"/>
      <c r="D3" s="106"/>
      <c r="E3" s="1"/>
    </row>
    <row r="4" spans="1:5" ht="15" customHeight="1" x14ac:dyDescent="0.3">
      <c r="A4" s="1"/>
      <c r="B4" s="106"/>
      <c r="C4" s="106"/>
      <c r="D4" s="106"/>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x14ac:dyDescent="0.3">
      <c r="A9" s="1"/>
      <c r="B9" s="29" t="s">
        <v>90</v>
      </c>
      <c r="C9" s="7">
        <f>'Fane 3. Omkostninger i ØR2024'!C20</f>
        <v>40812895.914526567</v>
      </c>
      <c r="D9" s="8" t="s">
        <v>3</v>
      </c>
      <c r="E9" s="1"/>
    </row>
    <row r="10" spans="1:5" ht="17.25" customHeight="1" x14ac:dyDescent="0.3">
      <c r="A10" s="1"/>
      <c r="B10" s="64" t="s">
        <v>35</v>
      </c>
      <c r="C10" s="7">
        <f>'Fane 11.1. Varige tillæg'!C20</f>
        <v>0</v>
      </c>
      <c r="D10" s="8" t="s">
        <v>3</v>
      </c>
      <c r="E10" s="1"/>
    </row>
    <row r="11" spans="1:5" ht="17.25" customHeight="1" x14ac:dyDescent="0.3">
      <c r="A11" s="1"/>
      <c r="B11" s="64" t="s">
        <v>36</v>
      </c>
      <c r="C11" s="9">
        <f>'Fane 11.1. Varige tillæg'!E20</f>
        <v>550899.14107916679</v>
      </c>
      <c r="D11" s="8" t="s">
        <v>3</v>
      </c>
      <c r="E11" s="1"/>
    </row>
    <row r="12" spans="1:5" ht="17.25" customHeight="1" x14ac:dyDescent="0.3">
      <c r="A12" s="1"/>
      <c r="B12" s="64" t="s">
        <v>25</v>
      </c>
      <c r="C12" s="9">
        <f>-'Fane 14. Bortfald'!C12</f>
        <v>0</v>
      </c>
      <c r="D12" s="8" t="s">
        <v>3</v>
      </c>
      <c r="E12" s="1"/>
    </row>
    <row r="13" spans="1:5" ht="17.25" customHeight="1" x14ac:dyDescent="0.3">
      <c r="A13" s="1"/>
      <c r="B13" s="64" t="s">
        <v>24</v>
      </c>
      <c r="C13" s="9">
        <f>-'Fane 14. Bortfald'!E12</f>
        <v>0</v>
      </c>
      <c r="D13" s="8" t="s">
        <v>3</v>
      </c>
      <c r="E13" s="1"/>
    </row>
    <row r="14" spans="1:5" ht="17.25" customHeight="1" x14ac:dyDescent="0.3">
      <c r="A14" s="1"/>
      <c r="B14" s="64" t="s">
        <v>62</v>
      </c>
      <c r="C14" s="9">
        <f>'Fane 13. Tilknyttet virksomhed'!C12</f>
        <v>0</v>
      </c>
      <c r="D14" s="8" t="s">
        <v>3</v>
      </c>
      <c r="E14" s="1"/>
    </row>
    <row r="15" spans="1:5" ht="17.25" customHeight="1" x14ac:dyDescent="0.3">
      <c r="A15" s="1"/>
      <c r="B15" s="64" t="s">
        <v>63</v>
      </c>
      <c r="C15" s="9">
        <f>'Fane 13. Tilknyttet virksomhed'!E12</f>
        <v>0</v>
      </c>
      <c r="D15" s="8" t="s">
        <v>3</v>
      </c>
      <c r="E15" s="1"/>
    </row>
    <row r="16" spans="1:5" ht="17.25" customHeight="1" x14ac:dyDescent="0.3">
      <c r="A16" s="1"/>
      <c r="B16" s="64" t="s">
        <v>19</v>
      </c>
      <c r="C16" s="38">
        <f>SUM(C9)*'Fane 15. Nøgletal'!C9+SUM(C10:C11,C14:C15)*'Fane 15. Nøgletal'!C10</f>
        <v>3334206.6029472952</v>
      </c>
      <c r="D16" s="8" t="s">
        <v>3</v>
      </c>
      <c r="E16" s="1"/>
    </row>
    <row r="17" spans="1:5" ht="17.25" customHeight="1" x14ac:dyDescent="0.3">
      <c r="A17" s="1"/>
      <c r="B17" s="64" t="s">
        <v>10</v>
      </c>
      <c r="C17" s="38">
        <f>-SUM(C9,C10:C16)*'Fane 5. Individuelt eff. krav'!C9</f>
        <v>-541403.52845333994</v>
      </c>
      <c r="D17" s="8" t="s">
        <v>3</v>
      </c>
      <c r="E17" s="1"/>
    </row>
    <row r="18" spans="1:5" ht="17.25" customHeight="1" x14ac:dyDescent="0.3">
      <c r="A18" s="1"/>
      <c r="B18" s="64" t="s">
        <v>22</v>
      </c>
      <c r="C18" s="38">
        <f>-'Fane 4.1. Gen. krav - drift'!C17</f>
        <v>-290556.72060076235</v>
      </c>
      <c r="D18" s="8" t="s">
        <v>3</v>
      </c>
      <c r="E18" s="1"/>
    </row>
    <row r="19" spans="1:5" ht="17.25" customHeight="1" x14ac:dyDescent="0.3">
      <c r="A19" s="1"/>
      <c r="B19" s="64" t="s">
        <v>23</v>
      </c>
      <c r="C19" s="38">
        <f>-'Fane 4.2. Gen. krav - anlæg'!C17</f>
        <v>0</v>
      </c>
      <c r="D19" s="8" t="s">
        <v>3</v>
      </c>
      <c r="E19" s="43"/>
    </row>
    <row r="20" spans="1:5" ht="17.25" customHeight="1" x14ac:dyDescent="0.3">
      <c r="A20" s="1"/>
      <c r="B20" s="83" t="s">
        <v>21</v>
      </c>
      <c r="C20" s="10">
        <f>SUM(C9:C19)</f>
        <v>43866041.409498923</v>
      </c>
      <c r="D20" s="11" t="s">
        <v>3</v>
      </c>
      <c r="E20" s="1"/>
    </row>
    <row r="21" spans="1:5" ht="15" customHeight="1" x14ac:dyDescent="0.3">
      <c r="A21" s="1"/>
      <c r="B21" s="33" t="s">
        <v>12</v>
      </c>
      <c r="C21" s="28"/>
      <c r="D21" s="19"/>
      <c r="E21" s="1"/>
    </row>
    <row r="22" spans="1:5" ht="15" customHeight="1" x14ac:dyDescent="0.3">
      <c r="A22" s="1"/>
      <c r="B22" s="31" t="s">
        <v>12</v>
      </c>
      <c r="C22" s="10">
        <f>'Fane 6. Ikke-påvirkelige omk.'!C21+'Fane 6. Ikke-påvirkelige omk.'!C25+'Fane 6. Ikke-påvirkelige omk.'!C33</f>
        <v>1169605.8633848899</v>
      </c>
      <c r="D22" s="11" t="s">
        <v>3</v>
      </c>
      <c r="E22" s="1"/>
    </row>
    <row r="23" spans="1:5" ht="15" customHeight="1" x14ac:dyDescent="0.3">
      <c r="A23" s="1"/>
      <c r="B23" s="33" t="s">
        <v>42</v>
      </c>
      <c r="C23" s="28"/>
      <c r="D23" s="19"/>
      <c r="E23" s="1"/>
    </row>
    <row r="24" spans="1:5" ht="15" customHeight="1" x14ac:dyDescent="0.3">
      <c r="A24" s="1"/>
      <c r="B24" s="83" t="s">
        <v>42</v>
      </c>
      <c r="C24" s="10">
        <f>'Fane 12. Periodevise driftsomk.'!C12</f>
        <v>0</v>
      </c>
      <c r="D24" s="11" t="s">
        <v>3</v>
      </c>
      <c r="E24" s="1"/>
    </row>
    <row r="25" spans="1:5" ht="15" customHeight="1" x14ac:dyDescent="0.3">
      <c r="A25" s="1"/>
      <c r="B25" s="41" t="s">
        <v>41</v>
      </c>
      <c r="C25" s="39"/>
      <c r="D25" s="40"/>
      <c r="E25" s="1"/>
    </row>
    <row r="26" spans="1:5" ht="15" customHeight="1" x14ac:dyDescent="0.3">
      <c r="A26" s="1"/>
      <c r="B26" s="64" t="s">
        <v>89</v>
      </c>
      <c r="C26" s="38">
        <f>'Fane 11.2. Engangstillæg'!C14</f>
        <v>0</v>
      </c>
      <c r="D26" s="8" t="s">
        <v>3</v>
      </c>
      <c r="E26" s="1"/>
    </row>
    <row r="27" spans="1:5" ht="15" customHeight="1" x14ac:dyDescent="0.3">
      <c r="A27" s="1"/>
      <c r="B27" s="64" t="s">
        <v>38</v>
      </c>
      <c r="C27" s="38">
        <f>'Fane 11.2. Engangstillæg'!E14</f>
        <v>0</v>
      </c>
      <c r="D27" s="8" t="s">
        <v>3</v>
      </c>
      <c r="E27" s="1"/>
    </row>
    <row r="28" spans="1:5" ht="15" customHeight="1" x14ac:dyDescent="0.3">
      <c r="A28" s="1"/>
      <c r="B28" s="64" t="s">
        <v>92</v>
      </c>
      <c r="C28" s="38">
        <f>-C26*('Fane 15. Nøgletal'!C21+'Fane 5. Individuelt eff. krav'!C9)</f>
        <v>0</v>
      </c>
      <c r="D28" s="8" t="s">
        <v>3</v>
      </c>
      <c r="E28" s="1"/>
    </row>
    <row r="29" spans="1:5" ht="15" customHeight="1" x14ac:dyDescent="0.3">
      <c r="A29" s="1"/>
      <c r="B29" s="64" t="s">
        <v>93</v>
      </c>
      <c r="C29" s="38">
        <f>-C27*('Fane 15. Nøgletal'!C16+'Fane 5. Individuelt eff. krav'!C9)</f>
        <v>0</v>
      </c>
      <c r="D29" s="8" t="s">
        <v>3</v>
      </c>
      <c r="E29" s="1"/>
    </row>
    <row r="30" spans="1:5" ht="15" customHeight="1" x14ac:dyDescent="0.3">
      <c r="A30" s="1"/>
      <c r="B30" s="67" t="s">
        <v>43</v>
      </c>
      <c r="C30" s="10">
        <f>SUM(C26:C29)</f>
        <v>0</v>
      </c>
      <c r="D30" s="11" t="s">
        <v>3</v>
      </c>
      <c r="E30" s="1"/>
    </row>
    <row r="31" spans="1:5" x14ac:dyDescent="0.3">
      <c r="A31" s="1"/>
      <c r="B31" s="33" t="s">
        <v>69</v>
      </c>
      <c r="C31" s="28"/>
      <c r="D31" s="19"/>
      <c r="E31" s="1"/>
    </row>
    <row r="32" spans="1:5" x14ac:dyDescent="0.3">
      <c r="A32" s="1"/>
      <c r="B32" s="31" t="s">
        <v>79</v>
      </c>
      <c r="C32" s="62">
        <f>'Fane 7. Kontrol af ØR2023'!C27</f>
        <v>0</v>
      </c>
      <c r="D32" s="11" t="s">
        <v>3</v>
      </c>
      <c r="E32" s="1"/>
    </row>
    <row r="33" spans="1:5" ht="15" customHeight="1" x14ac:dyDescent="0.3">
      <c r="A33" s="1"/>
      <c r="B33" s="33" t="s">
        <v>154</v>
      </c>
      <c r="C33" s="28"/>
      <c r="D33" s="19"/>
      <c r="E33" s="1"/>
    </row>
    <row r="34" spans="1:5" x14ac:dyDescent="0.3">
      <c r="A34" s="1"/>
      <c r="B34" s="31" t="s">
        <v>154</v>
      </c>
      <c r="C34" s="10">
        <f>'Fane 9. Korrektion af ØR2023'!C16</f>
        <v>0</v>
      </c>
      <c r="D34" s="11" t="s">
        <v>3</v>
      </c>
      <c r="E34" s="1"/>
    </row>
    <row r="35" spans="1:5" x14ac:dyDescent="0.3">
      <c r="A35" s="1"/>
      <c r="B35" s="30" t="s">
        <v>75</v>
      </c>
      <c r="C35" s="28"/>
      <c r="D35" s="19"/>
      <c r="E35" s="1"/>
    </row>
    <row r="36" spans="1:5" x14ac:dyDescent="0.3">
      <c r="A36" s="1"/>
      <c r="B36" s="67" t="s">
        <v>76</v>
      </c>
      <c r="C36" s="10">
        <f>'Fane 8. Skattesagen'!C14</f>
        <v>0</v>
      </c>
      <c r="D36" s="11" t="s">
        <v>3</v>
      </c>
      <c r="E36" s="1"/>
    </row>
    <row r="37" spans="1:5" x14ac:dyDescent="0.3">
      <c r="A37" s="1"/>
      <c r="B37" s="30" t="s">
        <v>213</v>
      </c>
      <c r="C37" s="28"/>
      <c r="D37" s="19"/>
      <c r="E37" s="1"/>
    </row>
    <row r="38" spans="1:5" x14ac:dyDescent="0.3">
      <c r="A38" s="1"/>
      <c r="B38" s="67" t="s">
        <v>214</v>
      </c>
      <c r="C38" s="10">
        <v>1944677.3261677381</v>
      </c>
      <c r="D38" s="11" t="s">
        <v>3</v>
      </c>
      <c r="E38" s="1"/>
    </row>
    <row r="39" spans="1:5" x14ac:dyDescent="0.3">
      <c r="A39" s="1"/>
      <c r="B39" s="33" t="s">
        <v>71</v>
      </c>
      <c r="C39" s="45">
        <f>SUM(C34,C32,C24,C30,C22,C20,C36,C38)</f>
        <v>46980324.59905155</v>
      </c>
      <c r="D39" s="30" t="s">
        <v>3</v>
      </c>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Akk9oYS4Eql7S+WURihXy9vRPJti64QokavADdGnduqV2WqExxQYgjvaTPwPj4KhOp9Tp7eMwp7qTEwPNnW3Qg==" saltValue="C5xyGrMC46IqkHt/qQ9Jx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664062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09" t="s">
        <v>119</v>
      </c>
      <c r="C3" s="109"/>
      <c r="D3" s="1"/>
    </row>
    <row r="4" spans="1:4" ht="15" customHeight="1" x14ac:dyDescent="0.3">
      <c r="A4" s="1"/>
      <c r="B4" s="109"/>
      <c r="C4" s="109"/>
      <c r="D4" s="1"/>
    </row>
    <row r="5" spans="1:4" ht="15" customHeight="1" x14ac:dyDescent="0.3">
      <c r="A5" s="1"/>
      <c r="B5" s="1"/>
      <c r="C5" s="1"/>
      <c r="D5" s="1"/>
    </row>
    <row r="6" spans="1:4" x14ac:dyDescent="0.3">
      <c r="A6" s="1"/>
      <c r="B6" s="1"/>
      <c r="C6" s="1"/>
      <c r="D6" s="1"/>
    </row>
    <row r="7" spans="1:4" x14ac:dyDescent="0.3">
      <c r="A7" s="1"/>
      <c r="B7" s="1"/>
      <c r="C7" s="1"/>
      <c r="D7" s="1"/>
    </row>
    <row r="8" spans="1:4" x14ac:dyDescent="0.3">
      <c r="A8" s="1"/>
      <c r="B8" s="33" t="s">
        <v>14</v>
      </c>
      <c r="C8" s="19"/>
      <c r="D8" s="1"/>
    </row>
    <row r="9" spans="1:4" x14ac:dyDescent="0.3">
      <c r="A9" s="1"/>
      <c r="B9" s="59" t="s">
        <v>122</v>
      </c>
      <c r="C9" s="61">
        <v>8.0799999999999997E-2</v>
      </c>
      <c r="D9" s="1"/>
    </row>
    <row r="10" spans="1:4" x14ac:dyDescent="0.3">
      <c r="A10" s="1"/>
      <c r="B10" s="59" t="s">
        <v>282</v>
      </c>
      <c r="C10" s="61">
        <v>6.6299999999999998E-2</v>
      </c>
      <c r="D10" s="1"/>
    </row>
    <row r="11" spans="1:4" x14ac:dyDescent="0.3">
      <c r="A11" s="1"/>
      <c r="B11" s="33"/>
      <c r="C11" s="19"/>
      <c r="D11" s="1"/>
    </row>
    <row r="12" spans="1:4" x14ac:dyDescent="0.3">
      <c r="A12" s="1"/>
      <c r="B12" s="1"/>
      <c r="C12" s="1"/>
      <c r="D12" s="1"/>
    </row>
    <row r="13" spans="1:4" x14ac:dyDescent="0.3">
      <c r="A13" s="1"/>
      <c r="B13" s="1"/>
      <c r="C13" s="1"/>
      <c r="D13" s="1"/>
    </row>
    <row r="14" spans="1:4" x14ac:dyDescent="0.3">
      <c r="A14" s="1"/>
      <c r="B14" s="33" t="s">
        <v>50</v>
      </c>
      <c r="C14" s="19"/>
      <c r="D14" s="1"/>
    </row>
    <row r="15" spans="1:4" x14ac:dyDescent="0.3">
      <c r="A15" s="1"/>
      <c r="B15" s="59" t="s">
        <v>215</v>
      </c>
      <c r="C15" s="60">
        <v>0</v>
      </c>
      <c r="D15" s="1"/>
    </row>
    <row r="16" spans="1:4" x14ac:dyDescent="0.3">
      <c r="A16" s="1"/>
      <c r="B16" s="59" t="s">
        <v>283</v>
      </c>
      <c r="C16" s="22">
        <v>0</v>
      </c>
      <c r="D16" s="1"/>
    </row>
    <row r="17" spans="1:4" x14ac:dyDescent="0.3">
      <c r="A17" s="1"/>
      <c r="B17" s="33"/>
      <c r="C17" s="19"/>
      <c r="D17" s="1"/>
    </row>
    <row r="18" spans="1:4" x14ac:dyDescent="0.3">
      <c r="A18" s="1"/>
      <c r="B18" s="1"/>
      <c r="C18" s="1"/>
      <c r="D18" s="1"/>
    </row>
    <row r="19" spans="1:4" x14ac:dyDescent="0.3">
      <c r="A19" s="1"/>
      <c r="B19" s="1"/>
      <c r="C19" s="1"/>
      <c r="D19" s="1"/>
    </row>
    <row r="20" spans="1:4" x14ac:dyDescent="0.3">
      <c r="A20" s="1"/>
      <c r="B20" s="33" t="s">
        <v>51</v>
      </c>
      <c r="C20" s="19"/>
      <c r="D20" s="1"/>
    </row>
    <row r="21" spans="1:4" x14ac:dyDescent="0.3">
      <c r="A21" s="1"/>
      <c r="B21" s="37" t="s">
        <v>59</v>
      </c>
      <c r="C21" s="25">
        <v>0.02</v>
      </c>
      <c r="D21" s="1"/>
    </row>
    <row r="22" spans="1:4" x14ac:dyDescent="0.3">
      <c r="A22" s="1"/>
      <c r="B22" s="33"/>
      <c r="C22" s="19"/>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hidden="1" x14ac:dyDescent="0.3"/>
  </sheetData>
  <sheetProtection algorithmName="SHA-512" hashValue="MkI6qEQ3mHgw6lAXtZsQi2513aMoI0OJtRQ3zHQ+OB0ZOE7EsTGFspuQN8eD0GUP8s351Ayx0zucForugNWrbw==" saltValue="Qn3xcAYvTtGXuRZz8EaeW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156</v>
      </c>
      <c r="C3" s="106"/>
      <c r="D3" s="106"/>
      <c r="E3" s="1"/>
    </row>
    <row r="4" spans="1:5" ht="15" customHeight="1" x14ac:dyDescent="0.3">
      <c r="A4" s="1"/>
      <c r="B4" s="106"/>
      <c r="C4" s="106"/>
      <c r="D4" s="106"/>
      <c r="E4" s="1"/>
    </row>
    <row r="5" spans="1:5" x14ac:dyDescent="0.3">
      <c r="A5" s="1"/>
      <c r="B5" s="107" t="s">
        <v>144</v>
      </c>
      <c r="C5" s="107"/>
      <c r="D5" s="107"/>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ht="15" customHeight="1" x14ac:dyDescent="0.3">
      <c r="A9" s="1"/>
      <c r="B9" s="29" t="s">
        <v>80</v>
      </c>
      <c r="C9" s="7">
        <f>'Fane 2.1. Økonomisk ramme 2025'!C20</f>
        <v>43866041.409498923</v>
      </c>
      <c r="D9" s="8" t="s">
        <v>3</v>
      </c>
      <c r="E9" s="1"/>
    </row>
    <row r="10" spans="1:5" ht="15" customHeight="1" x14ac:dyDescent="0.3">
      <c r="A10" s="1"/>
      <c r="B10" s="26" t="s">
        <v>19</v>
      </c>
      <c r="C10" s="7">
        <f>C9*'Fane 15. Nøgletal'!C10</f>
        <v>2908318.5454497784</v>
      </c>
      <c r="D10" s="8" t="s">
        <v>3</v>
      </c>
      <c r="E10" s="1"/>
    </row>
    <row r="11" spans="1:5" ht="15" customHeight="1" x14ac:dyDescent="0.3">
      <c r="A11" s="1"/>
      <c r="B11" s="26" t="s">
        <v>10</v>
      </c>
      <c r="C11" s="9">
        <f>-SUM(C9:C10)*'Fane 5. Individuelt eff. krav'!C9</f>
        <v>-566553.3710925997</v>
      </c>
      <c r="D11" s="8" t="s">
        <v>3</v>
      </c>
      <c r="E11" s="1"/>
    </row>
    <row r="12" spans="1:5" ht="15" customHeight="1" x14ac:dyDescent="0.3">
      <c r="A12" s="1"/>
      <c r="B12" s="26" t="s">
        <v>22</v>
      </c>
      <c r="C12" s="9">
        <f>-'Fane 4.1. Gen. krav - drift'!C22</f>
        <v>-303624.21855306107</v>
      </c>
      <c r="D12" s="8" t="s">
        <v>3</v>
      </c>
      <c r="E12" s="1"/>
    </row>
    <row r="13" spans="1:5" ht="15" customHeight="1" x14ac:dyDescent="0.3">
      <c r="A13" s="1"/>
      <c r="B13" s="26" t="s">
        <v>23</v>
      </c>
      <c r="C13" s="9">
        <f>-'Fane 4.2. Gen. krav - anlæg'!C22</f>
        <v>0</v>
      </c>
      <c r="D13" s="8" t="s">
        <v>3</v>
      </c>
      <c r="E13" s="1"/>
    </row>
    <row r="14" spans="1:5" ht="15" customHeight="1" x14ac:dyDescent="0.3">
      <c r="A14" s="1"/>
      <c r="B14" s="27" t="s">
        <v>21</v>
      </c>
      <c r="C14" s="10">
        <f>SUM(C9:C13)</f>
        <v>45904182.36530304</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Nøgletal'!C10)+'Fane 6. Ikke-påvirkelige omk.'!C26+'Fane 6. Ikke-påvirkelige omk.'!C34</f>
        <v>1247150.7321273081</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driftsomk.'!C18</f>
        <v>0</v>
      </c>
      <c r="D18" s="11" t="s">
        <v>3</v>
      </c>
      <c r="E18" s="1"/>
    </row>
    <row r="19" spans="1:5" x14ac:dyDescent="0.3">
      <c r="A19" s="1"/>
      <c r="B19" s="33" t="s">
        <v>69</v>
      </c>
      <c r="C19" s="28"/>
      <c r="D19" s="19"/>
      <c r="E19" s="1"/>
    </row>
    <row r="20" spans="1:5" ht="15" customHeight="1" x14ac:dyDescent="0.3">
      <c r="A20" s="1"/>
      <c r="B20" s="31" t="s">
        <v>79</v>
      </c>
      <c r="C20" s="10">
        <f>'Fane 7. Kontrol af ØR2023'!C33</f>
        <v>0</v>
      </c>
      <c r="D20" s="11" t="s">
        <v>3</v>
      </c>
      <c r="E20" s="1"/>
    </row>
    <row r="21" spans="1:5" x14ac:dyDescent="0.3">
      <c r="A21" s="1"/>
      <c r="B21" s="30" t="s">
        <v>75</v>
      </c>
      <c r="C21" s="28"/>
      <c r="D21" s="19"/>
      <c r="E21" s="1"/>
    </row>
    <row r="22" spans="1:5" x14ac:dyDescent="0.3">
      <c r="A22" s="1"/>
      <c r="B22" s="67" t="s">
        <v>76</v>
      </c>
      <c r="C22" s="10">
        <f>'Fane 8. Skattesagen'!C15</f>
        <v>0</v>
      </c>
      <c r="D22" s="11" t="s">
        <v>3</v>
      </c>
      <c r="E22" s="1"/>
    </row>
    <row r="23" spans="1:5" x14ac:dyDescent="0.3">
      <c r="A23" s="1"/>
      <c r="B23" s="33" t="s">
        <v>81</v>
      </c>
      <c r="C23" s="12">
        <f>SUM(C14,C16,C18,C20,C22)</f>
        <v>47151333.097430348</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VUQgwg+OzZB/xL8pVZg7HmAqrYiOMVZ5Oc2M//C8NqQI3nz0NS56YeEox/wEbA9Z4ypLwDh29cLaGVy5TCMpA==" saltValue="L2a0Y3Y/fkF15btjfIPPi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157</v>
      </c>
      <c r="C3" s="106"/>
      <c r="D3" s="106"/>
      <c r="E3" s="1"/>
    </row>
    <row r="4" spans="1:5" ht="15" customHeight="1" x14ac:dyDescent="0.3">
      <c r="A4" s="1"/>
      <c r="B4" s="106"/>
      <c r="C4" s="106"/>
      <c r="D4" s="106"/>
      <c r="E4" s="1"/>
    </row>
    <row r="5" spans="1:5" x14ac:dyDescent="0.3">
      <c r="A5" s="1"/>
      <c r="B5" s="107" t="s">
        <v>144</v>
      </c>
      <c r="C5" s="107"/>
      <c r="D5" s="107"/>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129</v>
      </c>
      <c r="C9" s="7">
        <f>'Fane 2.2. Økonomisk ramme 2026'!C14</f>
        <v>45904182.36530304</v>
      </c>
      <c r="D9" s="8" t="s">
        <v>3</v>
      </c>
      <c r="E9" s="1"/>
    </row>
    <row r="10" spans="1:5" ht="15" customHeight="1" x14ac:dyDescent="0.3">
      <c r="A10" s="1"/>
      <c r="B10" s="26" t="s">
        <v>19</v>
      </c>
      <c r="C10" s="7">
        <f>SUM(C9:C9)*'Fane 15. Nøgletal'!C10</f>
        <v>3043447.2908195914</v>
      </c>
      <c r="D10" s="8" t="s">
        <v>3</v>
      </c>
      <c r="E10" s="1"/>
    </row>
    <row r="11" spans="1:5" ht="15" customHeight="1" x14ac:dyDescent="0.3">
      <c r="A11" s="1"/>
      <c r="B11" s="26" t="s">
        <v>10</v>
      </c>
      <c r="C11" s="9">
        <f>-SUM(C9:C10)*'Fane 5. Individuelt eff. krav'!C9</f>
        <v>-592877.05091803009</v>
      </c>
      <c r="D11" s="8" t="s">
        <v>3</v>
      </c>
      <c r="E11" s="1"/>
    </row>
    <row r="12" spans="1:5" ht="15" customHeight="1" x14ac:dyDescent="0.3">
      <c r="A12" s="1"/>
      <c r="B12" s="26" t="s">
        <v>22</v>
      </c>
      <c r="C12" s="9">
        <f>-'Fane 4.1. Gen. krav - drift'!C27</f>
        <v>-317279.41415826645</v>
      </c>
      <c r="D12" s="8" t="s">
        <v>3</v>
      </c>
      <c r="E12" s="1"/>
    </row>
    <row r="13" spans="1:5" ht="15" customHeight="1" x14ac:dyDescent="0.3">
      <c r="A13" s="1"/>
      <c r="B13" s="26" t="s">
        <v>23</v>
      </c>
      <c r="C13" s="9">
        <f>-'Fane 4.2. Gen. krav - anlæg'!C27</f>
        <v>0</v>
      </c>
      <c r="D13" s="8" t="s">
        <v>3</v>
      </c>
      <c r="E13" s="1"/>
    </row>
    <row r="14" spans="1:5" x14ac:dyDescent="0.3">
      <c r="A14" s="1"/>
      <c r="B14" s="27" t="s">
        <v>21</v>
      </c>
      <c r="C14" s="10">
        <f>SUM(C9:C13)</f>
        <v>48037473.191046335</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Nøgletal'!C10)^2+'Fane 6. Ikke-påvirkelige omk.'!C27+'Fane 6. Ikke-påvirkelige omk.'!C35</f>
        <v>1329836.8256673487</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driftsomk.'!C24</f>
        <v>0</v>
      </c>
      <c r="D18" s="11" t="s">
        <v>3</v>
      </c>
      <c r="E18" s="1"/>
    </row>
    <row r="19" spans="1:5" ht="15" customHeight="1" x14ac:dyDescent="0.3">
      <c r="A19" s="1"/>
      <c r="B19" s="33" t="s">
        <v>69</v>
      </c>
      <c r="C19" s="28"/>
      <c r="D19" s="19"/>
      <c r="E19" s="1"/>
    </row>
    <row r="20" spans="1:5" ht="15" customHeight="1" x14ac:dyDescent="0.3">
      <c r="A20" s="1"/>
      <c r="B20" s="31" t="s">
        <v>79</v>
      </c>
      <c r="C20" s="10">
        <f>'Fane 7. Kontrol af ØR2023'!C33</f>
        <v>0</v>
      </c>
      <c r="D20" s="11" t="s">
        <v>3</v>
      </c>
      <c r="E20" s="1"/>
    </row>
    <row r="21" spans="1:5" x14ac:dyDescent="0.3">
      <c r="A21" s="1"/>
      <c r="B21" s="30" t="s">
        <v>75</v>
      </c>
      <c r="C21" s="28"/>
      <c r="D21" s="19"/>
      <c r="E21" s="1"/>
    </row>
    <row r="22" spans="1:5" x14ac:dyDescent="0.3">
      <c r="A22" s="1"/>
      <c r="B22" s="67" t="s">
        <v>76</v>
      </c>
      <c r="C22" s="10">
        <f>'Fane 8. Skattesagen'!C16</f>
        <v>0</v>
      </c>
      <c r="D22" s="11" t="s">
        <v>3</v>
      </c>
      <c r="E22" s="1"/>
    </row>
    <row r="23" spans="1:5" x14ac:dyDescent="0.3">
      <c r="A23" s="1"/>
      <c r="B23" s="33" t="s">
        <v>130</v>
      </c>
      <c r="C23" s="12">
        <f>SUM(C14,C16,C18,C20,C22)</f>
        <v>49367310.016713686</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g+JnE4j/rDQzyNEEPxg3lhFpa2yFNdIWgORTmLmnZzD5gXjWjxpqx0sK9e/ztVrqqcRcC8XjBf5xgVnQ8ZLdOw==" saltValue="khjyY1lX+8gm4vMeLUP0z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158</v>
      </c>
      <c r="C3" s="106"/>
      <c r="D3" s="106"/>
      <c r="E3" s="1"/>
    </row>
    <row r="4" spans="1:5" ht="15" customHeight="1" x14ac:dyDescent="0.3">
      <c r="A4" s="1"/>
      <c r="B4" s="106"/>
      <c r="C4" s="106"/>
      <c r="D4" s="106"/>
      <c r="E4" s="1"/>
    </row>
    <row r="5" spans="1:5" x14ac:dyDescent="0.3">
      <c r="A5" s="1"/>
      <c r="B5" s="107" t="s">
        <v>144</v>
      </c>
      <c r="C5" s="107"/>
      <c r="D5" s="107"/>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159</v>
      </c>
      <c r="C9" s="7">
        <f>'Fane 2.3. Økonomisk ramme 2027'!C14</f>
        <v>48037473.191046335</v>
      </c>
      <c r="D9" s="8" t="s">
        <v>3</v>
      </c>
      <c r="E9" s="1"/>
    </row>
    <row r="10" spans="1:5" ht="15" customHeight="1" x14ac:dyDescent="0.3">
      <c r="A10" s="1"/>
      <c r="B10" s="26" t="s">
        <v>19</v>
      </c>
      <c r="C10" s="7">
        <f>SUM(C9:C9)*'Fane 15. Nøgletal'!C10</f>
        <v>3184884.4725663718</v>
      </c>
      <c r="D10" s="8" t="s">
        <v>3</v>
      </c>
      <c r="E10" s="1"/>
    </row>
    <row r="11" spans="1:5" ht="15" customHeight="1" x14ac:dyDescent="0.3">
      <c r="A11" s="1"/>
      <c r="B11" s="26" t="s">
        <v>10</v>
      </c>
      <c r="C11" s="9">
        <f>-SUM(C9:C10)*'Fane 5. Individuelt eff. krav'!C9</f>
        <v>-620429.64217109128</v>
      </c>
      <c r="D11" s="8" t="s">
        <v>3</v>
      </c>
      <c r="E11" s="1"/>
    </row>
    <row r="12" spans="1:5" ht="15" customHeight="1" x14ac:dyDescent="0.3">
      <c r="A12" s="1"/>
      <c r="B12" s="26" t="s">
        <v>22</v>
      </c>
      <c r="C12" s="9">
        <f>-'Fane 4.1. Gen. krav - drift'!C32</f>
        <v>-331548.73853062029</v>
      </c>
      <c r="D12" s="8" t="s">
        <v>3</v>
      </c>
      <c r="E12" s="1"/>
    </row>
    <row r="13" spans="1:5" ht="15" customHeight="1" x14ac:dyDescent="0.3">
      <c r="A13" s="1"/>
      <c r="B13" s="26" t="s">
        <v>23</v>
      </c>
      <c r="C13" s="9">
        <f>-'Fane 4.2. Gen. krav - anlæg'!C32</f>
        <v>0</v>
      </c>
      <c r="D13" s="8" t="s">
        <v>3</v>
      </c>
      <c r="E13" s="1"/>
    </row>
    <row r="14" spans="1:5" ht="14.25" customHeight="1" x14ac:dyDescent="0.3">
      <c r="A14" s="1"/>
      <c r="B14" s="27" t="s">
        <v>21</v>
      </c>
      <c r="C14" s="10">
        <f>SUM(C9:C13)</f>
        <v>50270379.282910995</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Nøgletal'!C10)^3+'Fane 6. Ikke-påvirkelige omk.'!C28+'Fane 6. Ikke-påvirkelige omk.'!C36</f>
        <v>1418005.007209094</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driftsomk.'!C30</f>
        <v>0</v>
      </c>
      <c r="D18" s="11" t="s">
        <v>3</v>
      </c>
      <c r="E18" s="1"/>
    </row>
    <row r="19" spans="1:5" x14ac:dyDescent="0.3">
      <c r="A19" s="1"/>
      <c r="B19" s="30" t="s">
        <v>75</v>
      </c>
      <c r="C19" s="28"/>
      <c r="D19" s="19"/>
      <c r="E19" s="1"/>
    </row>
    <row r="20" spans="1:5" x14ac:dyDescent="0.3">
      <c r="A20" s="1"/>
      <c r="B20" s="67" t="s">
        <v>76</v>
      </c>
      <c r="C20" s="10">
        <f>'Fane 8. Skattesagen'!C17</f>
        <v>0</v>
      </c>
      <c r="D20" s="11" t="s">
        <v>3</v>
      </c>
      <c r="E20" s="1"/>
    </row>
    <row r="21" spans="1:5" x14ac:dyDescent="0.3">
      <c r="A21" s="1"/>
      <c r="B21" s="33" t="s">
        <v>160</v>
      </c>
      <c r="C21" s="12">
        <f>SUM(C14,C16,C18,C20)</f>
        <v>51688384.290120088</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HpgNR8Dme23mmR5+efDJAU5Ail1be0lwB4qknfn/0JvO+jfPb/R3fNCB9k/BBKNPxpCvqRgoe4Qf1Icx37Tnug==" saltValue="bULzguws1qRDchIjfGPAX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4.4" zeroHeight="1" x14ac:dyDescent="0.3"/>
  <cols>
    <col min="1" max="1" width="6.5546875" style="2" customWidth="1"/>
    <col min="2" max="2" width="52.33203125" style="2" customWidth="1"/>
    <col min="3" max="3" width="15.109375" style="2" customWidth="1"/>
    <col min="4" max="4" width="4.109375" style="2" customWidth="1"/>
    <col min="5" max="5" width="8.44140625" style="2" bestFit="1"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109" t="s">
        <v>161</v>
      </c>
      <c r="C3" s="109"/>
      <c r="D3" s="109"/>
      <c r="E3" s="1"/>
    </row>
    <row r="4" spans="1:5" ht="15" customHeight="1" x14ac:dyDescent="0.3">
      <c r="A4" s="1"/>
      <c r="B4" s="109"/>
      <c r="C4" s="109"/>
      <c r="D4" s="109"/>
      <c r="E4" s="1"/>
    </row>
    <row r="5" spans="1:5" ht="15" customHeight="1"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162</v>
      </c>
      <c r="C8" s="28"/>
      <c r="D8" s="19"/>
      <c r="E8" s="1"/>
    </row>
    <row r="9" spans="1:5" ht="15" customHeight="1" x14ac:dyDescent="0.3">
      <c r="A9" s="1"/>
      <c r="B9" s="29" t="s">
        <v>64</v>
      </c>
      <c r="C9" s="7">
        <v>21761594.942019392</v>
      </c>
      <c r="D9" s="8" t="s">
        <v>3</v>
      </c>
      <c r="E9" s="1"/>
    </row>
    <row r="10" spans="1:5" ht="15" customHeight="1" x14ac:dyDescent="0.3">
      <c r="A10" s="1"/>
      <c r="B10" s="64" t="s">
        <v>35</v>
      </c>
      <c r="C10" s="7">
        <v>0</v>
      </c>
      <c r="D10" s="8" t="s">
        <v>3</v>
      </c>
      <c r="E10" s="1"/>
    </row>
    <row r="11" spans="1:5" ht="15" customHeight="1" x14ac:dyDescent="0.3">
      <c r="A11" s="1"/>
      <c r="B11" s="64" t="s">
        <v>36</v>
      </c>
      <c r="C11" s="9">
        <v>16720073.356104244</v>
      </c>
      <c r="D11" s="8" t="s">
        <v>3</v>
      </c>
      <c r="E11" s="1"/>
    </row>
    <row r="12" spans="1:5" ht="15" customHeight="1" x14ac:dyDescent="0.3">
      <c r="A12" s="1"/>
      <c r="B12" s="64" t="s">
        <v>25</v>
      </c>
      <c r="C12" s="9">
        <v>0</v>
      </c>
      <c r="D12" s="8" t="s">
        <v>3</v>
      </c>
      <c r="E12" s="1"/>
    </row>
    <row r="13" spans="1:5" ht="15" customHeight="1" x14ac:dyDescent="0.3">
      <c r="A13" s="1"/>
      <c r="B13" s="64" t="s">
        <v>24</v>
      </c>
      <c r="C13" s="9">
        <v>0</v>
      </c>
      <c r="D13" s="8" t="s">
        <v>3</v>
      </c>
      <c r="E13" s="1"/>
    </row>
    <row r="14" spans="1:5" ht="15" customHeight="1" x14ac:dyDescent="0.3">
      <c r="A14" s="1"/>
      <c r="B14" s="64" t="s">
        <v>62</v>
      </c>
      <c r="C14" s="9">
        <v>0</v>
      </c>
      <c r="D14" s="8" t="s">
        <v>3</v>
      </c>
      <c r="E14" s="1"/>
    </row>
    <row r="15" spans="1:5" ht="15" customHeight="1" x14ac:dyDescent="0.3">
      <c r="A15" s="1"/>
      <c r="B15" s="64" t="s">
        <v>63</v>
      </c>
      <c r="C15" s="9">
        <v>0</v>
      </c>
      <c r="D15" s="8" t="s">
        <v>3</v>
      </c>
      <c r="E15" s="1"/>
    </row>
    <row r="16" spans="1:5" ht="15" customHeight="1" x14ac:dyDescent="0.3">
      <c r="A16" s="1"/>
      <c r="B16" s="64" t="s">
        <v>19</v>
      </c>
      <c r="C16" s="38">
        <v>3109318.7984883897</v>
      </c>
      <c r="D16" s="8" t="s">
        <v>3</v>
      </c>
      <c r="E16" s="1"/>
    </row>
    <row r="17" spans="1:5" ht="15" customHeight="1" x14ac:dyDescent="0.3">
      <c r="A17" s="1"/>
      <c r="B17" s="64" t="s">
        <v>10</v>
      </c>
      <c r="C17" s="38">
        <v>-503769.88523947407</v>
      </c>
      <c r="D17" s="8" t="s">
        <v>3</v>
      </c>
      <c r="E17" s="1"/>
    </row>
    <row r="18" spans="1:5" ht="15" customHeight="1" x14ac:dyDescent="0.3">
      <c r="A18" s="1"/>
      <c r="B18" s="64" t="s">
        <v>22</v>
      </c>
      <c r="C18" s="38">
        <v>-274321.29684598208</v>
      </c>
      <c r="D18" s="8" t="s">
        <v>3</v>
      </c>
      <c r="E18" s="1"/>
    </row>
    <row r="19" spans="1:5" ht="15" customHeight="1" x14ac:dyDescent="0.3">
      <c r="A19" s="1"/>
      <c r="B19" s="64" t="s">
        <v>23</v>
      </c>
      <c r="C19" s="38">
        <v>0</v>
      </c>
      <c r="D19" s="8" t="s">
        <v>3</v>
      </c>
      <c r="E19" s="43"/>
    </row>
    <row r="20" spans="1:5" ht="15" customHeight="1" x14ac:dyDescent="0.3">
      <c r="A20" s="1"/>
      <c r="B20" s="83" t="s">
        <v>21</v>
      </c>
      <c r="C20" s="10">
        <v>40812895.914526567</v>
      </c>
      <c r="D20" s="11" t="s">
        <v>3</v>
      </c>
      <c r="E20" s="1"/>
    </row>
    <row r="21" spans="1:5" ht="15" customHeight="1" x14ac:dyDescent="0.3">
      <c r="A21" s="1"/>
      <c r="B21" s="33" t="s">
        <v>12</v>
      </c>
      <c r="C21" s="28"/>
      <c r="D21" s="19"/>
      <c r="E21" s="1"/>
    </row>
    <row r="22" spans="1:5" ht="15" customHeight="1" x14ac:dyDescent="0.3">
      <c r="A22" s="1"/>
      <c r="B22" s="31" t="s">
        <v>12</v>
      </c>
      <c r="C22" s="10">
        <v>1395110.0522956799</v>
      </c>
      <c r="D22" s="11" t="s">
        <v>3</v>
      </c>
      <c r="E22" s="1"/>
    </row>
    <row r="23" spans="1:5" ht="15" customHeight="1" x14ac:dyDescent="0.3">
      <c r="A23" s="1"/>
      <c r="B23" s="33" t="s">
        <v>42</v>
      </c>
      <c r="C23" s="28"/>
      <c r="D23" s="19"/>
      <c r="E23" s="1"/>
    </row>
    <row r="24" spans="1:5" ht="15" customHeight="1" x14ac:dyDescent="0.3">
      <c r="A24" s="1"/>
      <c r="B24" s="83" t="s">
        <v>42</v>
      </c>
      <c r="C24" s="10">
        <v>0</v>
      </c>
      <c r="D24" s="11" t="s">
        <v>3</v>
      </c>
      <c r="E24" s="1"/>
    </row>
    <row r="25" spans="1:5" x14ac:dyDescent="0.3">
      <c r="A25" s="1"/>
      <c r="B25" s="41" t="s">
        <v>41</v>
      </c>
      <c r="C25" s="39"/>
      <c r="D25" s="40"/>
      <c r="E25" s="1"/>
    </row>
    <row r="26" spans="1:5" ht="15" customHeight="1" x14ac:dyDescent="0.3">
      <c r="A26" s="1"/>
      <c r="B26" s="64" t="s">
        <v>89</v>
      </c>
      <c r="C26" s="72">
        <v>0</v>
      </c>
      <c r="D26" s="8" t="s">
        <v>3</v>
      </c>
      <c r="E26" s="1"/>
    </row>
    <row r="27" spans="1:5" ht="15" customHeight="1" x14ac:dyDescent="0.3">
      <c r="A27" s="1"/>
      <c r="B27" s="64" t="s">
        <v>38</v>
      </c>
      <c r="C27" s="72">
        <v>0</v>
      </c>
      <c r="D27" s="8" t="s">
        <v>3</v>
      </c>
      <c r="E27" s="1"/>
    </row>
    <row r="28" spans="1:5" ht="15" customHeight="1" x14ac:dyDescent="0.3">
      <c r="A28" s="1"/>
      <c r="B28" s="64" t="s">
        <v>92</v>
      </c>
      <c r="C28" s="72">
        <v>0</v>
      </c>
      <c r="D28" s="8" t="s">
        <v>3</v>
      </c>
      <c r="E28" s="1"/>
    </row>
    <row r="29" spans="1:5" ht="15" customHeight="1" x14ac:dyDescent="0.3">
      <c r="A29" s="1"/>
      <c r="B29" s="64" t="s">
        <v>93</v>
      </c>
      <c r="C29" s="72">
        <v>0</v>
      </c>
      <c r="D29" s="8" t="s">
        <v>3</v>
      </c>
      <c r="E29" s="1"/>
    </row>
    <row r="30" spans="1:5" ht="15" customHeight="1" x14ac:dyDescent="0.3">
      <c r="A30" s="1"/>
      <c r="B30" s="67" t="s">
        <v>43</v>
      </c>
      <c r="C30" s="10">
        <v>0</v>
      </c>
      <c r="D30" s="11" t="s">
        <v>3</v>
      </c>
      <c r="E30" s="1"/>
    </row>
    <row r="31" spans="1:5" ht="15" customHeight="1" x14ac:dyDescent="0.3">
      <c r="A31" s="1"/>
      <c r="B31" s="33" t="s">
        <v>69</v>
      </c>
      <c r="C31" s="28"/>
      <c r="D31" s="19"/>
      <c r="E31" s="1"/>
    </row>
    <row r="32" spans="1:5" ht="15" customHeight="1" x14ac:dyDescent="0.3">
      <c r="A32" s="1"/>
      <c r="B32" s="31" t="s">
        <v>79</v>
      </c>
      <c r="C32" s="10">
        <v>0</v>
      </c>
      <c r="D32" s="11" t="s">
        <v>3</v>
      </c>
      <c r="E32" s="1"/>
    </row>
    <row r="33" spans="1:5" x14ac:dyDescent="0.3">
      <c r="A33" s="1"/>
      <c r="B33" s="33" t="s">
        <v>128</v>
      </c>
      <c r="C33" s="28"/>
      <c r="D33" s="19"/>
      <c r="E33" s="1"/>
    </row>
    <row r="34" spans="1:5" ht="15.45" customHeight="1" x14ac:dyDescent="0.3">
      <c r="A34" s="1"/>
      <c r="B34" s="31" t="s">
        <v>128</v>
      </c>
      <c r="C34" s="10">
        <v>0</v>
      </c>
      <c r="D34" s="11" t="s">
        <v>3</v>
      </c>
      <c r="E34" s="1"/>
    </row>
    <row r="35" spans="1:5" ht="15.45" customHeight="1" x14ac:dyDescent="0.3">
      <c r="A35" s="1"/>
      <c r="B35" s="30" t="s">
        <v>75</v>
      </c>
      <c r="C35" s="28"/>
      <c r="D35" s="19"/>
      <c r="E35" s="1"/>
    </row>
    <row r="36" spans="1:5" x14ac:dyDescent="0.3">
      <c r="A36" s="1"/>
      <c r="B36" s="67" t="s">
        <v>76</v>
      </c>
      <c r="C36" s="10">
        <v>0</v>
      </c>
      <c r="D36" s="11" t="s">
        <v>3</v>
      </c>
      <c r="E36" s="1"/>
    </row>
    <row r="37" spans="1:5" x14ac:dyDescent="0.3">
      <c r="A37" s="1"/>
      <c r="B37" s="30" t="s">
        <v>213</v>
      </c>
      <c r="C37" s="28"/>
      <c r="D37" s="19"/>
      <c r="E37" s="1"/>
    </row>
    <row r="38" spans="1:5" x14ac:dyDescent="0.3">
      <c r="A38" s="1"/>
      <c r="B38" s="67" t="s">
        <v>214</v>
      </c>
      <c r="C38" s="10">
        <v>284220.94885702652</v>
      </c>
      <c r="D38" s="11" t="s">
        <v>3</v>
      </c>
      <c r="E38" s="1"/>
    </row>
    <row r="39" spans="1:5" x14ac:dyDescent="0.3">
      <c r="A39" s="1"/>
      <c r="B39" s="33" t="s">
        <v>65</v>
      </c>
      <c r="C39" s="45">
        <v>42492226.915679269</v>
      </c>
      <c r="D39" s="30" t="s">
        <v>3</v>
      </c>
      <c r="E39" s="1"/>
    </row>
    <row r="40" spans="1:5" ht="30" customHeight="1" x14ac:dyDescent="0.3">
      <c r="A40" s="1"/>
      <c r="B40" s="108" t="s">
        <v>281</v>
      </c>
      <c r="C40" s="108"/>
      <c r="D40" s="108"/>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ht="14.25" customHeight="1"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s="56" customFormat="1" hidden="1" x14ac:dyDescent="0.3"/>
    <row r="50" spans="1:5" s="56" customFormat="1" hidden="1" x14ac:dyDescent="0.3"/>
    <row r="51" spans="1:5" s="56" customFormat="1" hidden="1" x14ac:dyDescent="0.3"/>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sheetData>
  <sheetProtection algorithmName="SHA-512" hashValue="ouzpgIEeAquhmWT3FwxB5hHKIL5rRD9cDjUOX8uI4wpNBRg0V10hEWQZ0gZAARX/hezj26ZXZ4svz05AJTEBJQ==" saltValue="NtiRB46v9q8x/3rlLg2zIw=="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44140625" style="2" customWidth="1"/>
    <col min="5" max="5" width="5.33203125" style="2" customWidth="1"/>
    <col min="6" max="16384" width="9.109375" style="2" hidden="1"/>
  </cols>
  <sheetData>
    <row r="1" spans="1:5" ht="15" customHeight="1" x14ac:dyDescent="0.3">
      <c r="A1" s="1"/>
      <c r="B1" s="35"/>
      <c r="C1" s="35"/>
      <c r="D1" s="35"/>
      <c r="E1" s="1"/>
    </row>
    <row r="2" spans="1:5" ht="15" customHeight="1" x14ac:dyDescent="0.3">
      <c r="A2" s="1"/>
      <c r="B2" s="35"/>
      <c r="C2" s="35"/>
      <c r="D2" s="35"/>
      <c r="E2" s="1"/>
    </row>
    <row r="3" spans="1:5" ht="15" customHeight="1" x14ac:dyDescent="0.3">
      <c r="A3" s="1"/>
      <c r="B3" s="109" t="s">
        <v>56</v>
      </c>
      <c r="C3" s="109"/>
      <c r="D3" s="109"/>
      <c r="E3" s="1"/>
    </row>
    <row r="4" spans="1:5" ht="15" customHeight="1" x14ac:dyDescent="0.3">
      <c r="A4" s="1"/>
      <c r="B4" s="109"/>
      <c r="C4" s="109"/>
      <c r="D4" s="109"/>
      <c r="E4" s="1"/>
    </row>
    <row r="5" spans="1:5" ht="15" customHeight="1" x14ac:dyDescent="0.3">
      <c r="A5" s="1"/>
      <c r="B5" s="109"/>
      <c r="C5" s="109"/>
      <c r="D5" s="109"/>
      <c r="E5" s="1"/>
    </row>
    <row r="6" spans="1:5" ht="15" customHeight="1" x14ac:dyDescent="0.3">
      <c r="A6" s="1"/>
      <c r="B6" s="76"/>
      <c r="C6" s="76"/>
      <c r="D6" s="76"/>
      <c r="E6" s="1"/>
    </row>
    <row r="7" spans="1:5" x14ac:dyDescent="0.3">
      <c r="A7" s="1"/>
      <c r="B7" s="1"/>
      <c r="C7" s="1"/>
      <c r="D7" s="1"/>
      <c r="E7" s="1"/>
    </row>
    <row r="8" spans="1:5" x14ac:dyDescent="0.3">
      <c r="A8" s="1"/>
      <c r="B8" s="110" t="s">
        <v>123</v>
      </c>
      <c r="C8" s="111"/>
      <c r="D8" s="112"/>
      <c r="E8" s="1"/>
    </row>
    <row r="9" spans="1:5" x14ac:dyDescent="0.3">
      <c r="A9" s="1"/>
      <c r="B9" s="65" t="s">
        <v>88</v>
      </c>
      <c r="C9" s="23">
        <v>13716064.470420737</v>
      </c>
      <c r="D9" s="14" t="s">
        <v>3</v>
      </c>
      <c r="E9" s="1"/>
    </row>
    <row r="10" spans="1:5" x14ac:dyDescent="0.3">
      <c r="A10" s="1"/>
      <c r="B10" s="65" t="s">
        <v>125</v>
      </c>
      <c r="C10" s="84">
        <f>('Fane 3. Omkostninger i ØR2024'!C10+'Fane 3. Omkostninger i ØR2024'!C12+'Fane 3. Omkostninger i ØR2024'!C14)*(1+'Fane 15. Nøgletal'!C9)</f>
        <v>0</v>
      </c>
      <c r="D10" s="14" t="s">
        <v>3</v>
      </c>
      <c r="E10" s="1"/>
    </row>
    <row r="11" spans="1:5" x14ac:dyDescent="0.3">
      <c r="A11" s="1"/>
      <c r="B11" s="65" t="s">
        <v>131</v>
      </c>
      <c r="C11" s="23">
        <f>C9*'Fane 15. Nøgletal'!C21+C10*'Fane 15. Nøgletal'!C21</f>
        <v>274321.28940841474</v>
      </c>
      <c r="D11" s="14" t="s">
        <v>3</v>
      </c>
      <c r="E11" s="1"/>
    </row>
    <row r="12" spans="1:5" x14ac:dyDescent="0.3">
      <c r="A12" s="1"/>
      <c r="B12" s="33"/>
      <c r="C12" s="28"/>
      <c r="D12" s="19"/>
      <c r="E12" s="1"/>
    </row>
    <row r="13" spans="1:5" x14ac:dyDescent="0.3">
      <c r="A13" s="1"/>
      <c r="B13" s="1"/>
      <c r="C13" s="1"/>
      <c r="D13" s="1"/>
      <c r="E13" s="1"/>
    </row>
    <row r="14" spans="1:5" x14ac:dyDescent="0.3">
      <c r="A14" s="1"/>
      <c r="B14" s="110" t="s">
        <v>124</v>
      </c>
      <c r="C14" s="111"/>
      <c r="D14" s="112"/>
      <c r="E14" s="1"/>
    </row>
    <row r="15" spans="1:5" x14ac:dyDescent="0.3">
      <c r="A15" s="1"/>
      <c r="B15" s="65" t="s">
        <v>133</v>
      </c>
      <c r="C15" s="23">
        <f>(C9+C10-C11)*(1+'Fane 15. Nøgletal'!C9)</f>
        <v>14527836.030038116</v>
      </c>
      <c r="D15" s="14" t="s">
        <v>3</v>
      </c>
      <c r="E15" s="1"/>
    </row>
    <row r="16" spans="1:5" x14ac:dyDescent="0.3">
      <c r="A16" s="1"/>
      <c r="B16" s="65" t="s">
        <v>184</v>
      </c>
      <c r="C16" s="84">
        <f>('Fane 2.1. Økonomisk ramme 2025'!C10+'Fane 2.1. Økonomisk ramme 2025'!C12+'Fane 2.1. Økonomisk ramme 2025'!C14)*(1+'Fane 15. Nøgletal'!C10)</f>
        <v>0</v>
      </c>
      <c r="D16" s="14" t="s">
        <v>3</v>
      </c>
      <c r="E16" s="1"/>
    </row>
    <row r="17" spans="1:5" x14ac:dyDescent="0.3">
      <c r="A17" s="1"/>
      <c r="B17" s="65" t="s">
        <v>132</v>
      </c>
      <c r="C17" s="23">
        <f>C15*'Fane 15. Nøgletal'!C21+C16*'Fane 15. Nøgletal'!C21</f>
        <v>290556.72060076235</v>
      </c>
      <c r="D17" s="14" t="s">
        <v>3</v>
      </c>
      <c r="E17" s="1"/>
    </row>
    <row r="18" spans="1:5" x14ac:dyDescent="0.3">
      <c r="A18" s="1"/>
      <c r="B18" s="33"/>
      <c r="C18" s="28"/>
      <c r="D18" s="19"/>
      <c r="E18" s="1"/>
    </row>
    <row r="19" spans="1:5" x14ac:dyDescent="0.3">
      <c r="A19" s="1"/>
      <c r="B19" s="1"/>
      <c r="C19" s="63"/>
      <c r="D19" s="1"/>
      <c r="E19" s="1"/>
    </row>
    <row r="20" spans="1:5" x14ac:dyDescent="0.3">
      <c r="A20" s="1"/>
      <c r="B20" s="110" t="s">
        <v>145</v>
      </c>
      <c r="C20" s="111"/>
      <c r="D20" s="112"/>
      <c r="E20" s="1"/>
    </row>
    <row r="21" spans="1:5" x14ac:dyDescent="0.3">
      <c r="A21" s="1"/>
      <c r="B21" s="65" t="s">
        <v>189</v>
      </c>
      <c r="C21" s="23">
        <f>(C15+C16-C17)*(1+'Fane 15. Nøgletal'!C10)</f>
        <v>15181210.927653052</v>
      </c>
      <c r="D21" s="14" t="s">
        <v>3</v>
      </c>
      <c r="E21" s="1"/>
    </row>
    <row r="22" spans="1:5" x14ac:dyDescent="0.3">
      <c r="A22" s="1"/>
      <c r="B22" s="65" t="s">
        <v>196</v>
      </c>
      <c r="C22" s="23">
        <f>C21*'Fane 15. Nøgletal'!C21</f>
        <v>303624.21855306107</v>
      </c>
      <c r="D22" s="14" t="s">
        <v>3</v>
      </c>
      <c r="E22" s="1"/>
    </row>
    <row r="23" spans="1:5" x14ac:dyDescent="0.3">
      <c r="A23" s="1"/>
      <c r="B23" s="33"/>
      <c r="C23" s="28"/>
      <c r="D23" s="19"/>
      <c r="E23" s="1"/>
    </row>
    <row r="24" spans="1:5" x14ac:dyDescent="0.3">
      <c r="A24" s="1"/>
      <c r="B24" s="1"/>
      <c r="C24" s="1"/>
      <c r="D24" s="1"/>
      <c r="E24" s="1"/>
    </row>
    <row r="25" spans="1:5" x14ac:dyDescent="0.3">
      <c r="A25" s="1"/>
      <c r="B25" s="110" t="s">
        <v>187</v>
      </c>
      <c r="C25" s="111"/>
      <c r="D25" s="112"/>
      <c r="E25" s="1"/>
    </row>
    <row r="26" spans="1:5" x14ac:dyDescent="0.3">
      <c r="A26" s="1"/>
      <c r="B26" s="65" t="s">
        <v>190</v>
      </c>
      <c r="C26" s="23">
        <f>(C21-C22)*(1+'Fane 15. Nøgletal'!C10)</f>
        <v>15863970.707913321</v>
      </c>
      <c r="D26" s="14" t="s">
        <v>3</v>
      </c>
      <c r="E26" s="1"/>
    </row>
    <row r="27" spans="1:5" x14ac:dyDescent="0.3">
      <c r="A27" s="1"/>
      <c r="B27" s="65" t="s">
        <v>194</v>
      </c>
      <c r="C27" s="23">
        <f>C26*'Fane 15. Nøgletal'!C21</f>
        <v>317279.41415826645</v>
      </c>
      <c r="D27" s="14" t="s">
        <v>3</v>
      </c>
      <c r="E27" s="1"/>
    </row>
    <row r="28" spans="1:5" x14ac:dyDescent="0.3">
      <c r="A28" s="1"/>
      <c r="B28" s="33"/>
      <c r="C28" s="28"/>
      <c r="D28" s="19"/>
      <c r="E28" s="1"/>
    </row>
    <row r="29" spans="1:5" x14ac:dyDescent="0.3">
      <c r="A29" s="1"/>
      <c r="B29" s="1"/>
      <c r="C29" s="1"/>
      <c r="D29" s="1"/>
      <c r="E29" s="1"/>
    </row>
    <row r="30" spans="1:5" x14ac:dyDescent="0.3">
      <c r="A30" s="1"/>
      <c r="B30" s="110" t="s">
        <v>188</v>
      </c>
      <c r="C30" s="111"/>
      <c r="D30" s="112"/>
      <c r="E30" s="1"/>
    </row>
    <row r="31" spans="1:5" x14ac:dyDescent="0.3">
      <c r="A31" s="1"/>
      <c r="B31" s="65" t="s">
        <v>191</v>
      </c>
      <c r="C31" s="23">
        <f>(C26-C27)*(1+'Fane 15. Nøgletal'!C10)</f>
        <v>16577436.926531015</v>
      </c>
      <c r="D31" s="14" t="s">
        <v>3</v>
      </c>
      <c r="E31" s="1"/>
    </row>
    <row r="32" spans="1:5" x14ac:dyDescent="0.3">
      <c r="A32" s="1"/>
      <c r="B32" s="65" t="s">
        <v>195</v>
      </c>
      <c r="C32" s="23">
        <f>C31*'Fane 15. Nøgletal'!C21</f>
        <v>331548.73853062029</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Vbeci7+cYXySeKiqgzZoLxhMyrixTTH0R+ZxhT1NBTA4offN4a9AaEVmkoHJL7jJB6sPeRmO/COK5d3O6Aql4A==" saltValue="IpzJBqPh0B0QYb65o216/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4.4" zeroHeight="1" x14ac:dyDescent="0.3"/>
  <cols>
    <col min="1" max="1" width="5.33203125" style="2" customWidth="1"/>
    <col min="2" max="2" width="58.109375" style="2" customWidth="1"/>
    <col min="3" max="3" width="11.6640625" style="2" customWidth="1"/>
    <col min="4" max="4" width="3.109375" style="2" customWidth="1"/>
    <col min="5" max="5" width="5.33203125" style="2" customWidth="1"/>
    <col min="6" max="16384" width="9.109375" style="2" hidden="1"/>
  </cols>
  <sheetData>
    <row r="1" spans="1:5" ht="14.25" customHeight="1" x14ac:dyDescent="0.4">
      <c r="A1" s="1"/>
      <c r="B1" s="69"/>
      <c r="C1" s="69"/>
      <c r="D1" s="69"/>
      <c r="E1" s="1"/>
    </row>
    <row r="2" spans="1:5" ht="15" customHeight="1" x14ac:dyDescent="0.4">
      <c r="A2" s="1"/>
      <c r="B2" s="69"/>
      <c r="C2" s="69"/>
      <c r="D2" s="69"/>
      <c r="E2" s="1"/>
    </row>
    <row r="3" spans="1:5" ht="15" customHeight="1" x14ac:dyDescent="0.3">
      <c r="A3" s="1"/>
      <c r="B3" s="113" t="s">
        <v>57</v>
      </c>
      <c r="C3" s="113"/>
      <c r="D3" s="113"/>
      <c r="E3" s="1"/>
    </row>
    <row r="4" spans="1:5" ht="15" customHeight="1" x14ac:dyDescent="0.3">
      <c r="A4" s="1"/>
      <c r="B4" s="113"/>
      <c r="C4" s="113"/>
      <c r="D4" s="113"/>
      <c r="E4" s="1"/>
    </row>
    <row r="5" spans="1:5" ht="15" customHeight="1" x14ac:dyDescent="0.3">
      <c r="A5" s="1"/>
      <c r="B5" s="113"/>
      <c r="C5" s="113"/>
      <c r="D5" s="113"/>
      <c r="E5" s="1"/>
    </row>
    <row r="6" spans="1:5" ht="15" customHeight="1" x14ac:dyDescent="0.4">
      <c r="A6" s="1"/>
      <c r="B6" s="69"/>
      <c r="C6" s="69"/>
      <c r="D6" s="69"/>
      <c r="E6" s="1"/>
    </row>
    <row r="7" spans="1:5" x14ac:dyDescent="0.3">
      <c r="A7" s="1"/>
      <c r="B7" s="1"/>
      <c r="C7" s="1"/>
      <c r="D7" s="1"/>
      <c r="E7" s="1"/>
    </row>
    <row r="8" spans="1:5" x14ac:dyDescent="0.3">
      <c r="A8" s="1"/>
      <c r="B8" s="110" t="s">
        <v>147</v>
      </c>
      <c r="C8" s="111"/>
      <c r="D8" s="112"/>
      <c r="E8" s="1"/>
    </row>
    <row r="9" spans="1:5" x14ac:dyDescent="0.3">
      <c r="A9" s="1"/>
      <c r="B9" s="65" t="s">
        <v>134</v>
      </c>
      <c r="C9" s="23">
        <v>10185641.274547944</v>
      </c>
      <c r="D9" s="14" t="s">
        <v>3</v>
      </c>
      <c r="E9" s="1"/>
    </row>
    <row r="10" spans="1:5" x14ac:dyDescent="0.3">
      <c r="A10" s="1"/>
      <c r="B10" s="65" t="s">
        <v>126</v>
      </c>
      <c r="C10" s="23">
        <f>('Fane 3. Omkostninger i ØR2024'!C11+'Fane 3. Omkostninger i ØR2024'!C13+'Fane 3. Omkostninger i ØR2024'!C15)*(1+'Fane 15. Nøgletal'!C9)</f>
        <v>18071055.283277467</v>
      </c>
      <c r="D10" s="14" t="s">
        <v>3</v>
      </c>
      <c r="E10" s="1"/>
    </row>
    <row r="11" spans="1:5" x14ac:dyDescent="0.3">
      <c r="A11" s="1"/>
      <c r="B11" s="65" t="s">
        <v>135</v>
      </c>
      <c r="C11" s="84">
        <f>SUM(C9:C10)*'Fane 15. Nøgletal'!C15</f>
        <v>0</v>
      </c>
      <c r="D11" s="14" t="s">
        <v>3</v>
      </c>
      <c r="E11" s="1"/>
    </row>
    <row r="12" spans="1:5" x14ac:dyDescent="0.3">
      <c r="A12" s="1"/>
      <c r="B12" s="33"/>
      <c r="C12" s="28"/>
      <c r="D12" s="19"/>
      <c r="E12" s="1"/>
    </row>
    <row r="13" spans="1:5" x14ac:dyDescent="0.3">
      <c r="A13" s="1"/>
      <c r="B13" s="1"/>
      <c r="C13" s="1"/>
      <c r="D13" s="1"/>
      <c r="E13" s="1"/>
    </row>
    <row r="14" spans="1:5" x14ac:dyDescent="0.3">
      <c r="A14" s="1"/>
      <c r="B14" s="110" t="s">
        <v>146</v>
      </c>
      <c r="C14" s="111"/>
      <c r="D14" s="112"/>
      <c r="E14" s="1"/>
    </row>
    <row r="15" spans="1:5" x14ac:dyDescent="0.3">
      <c r="A15" s="1"/>
      <c r="B15" s="65" t="s">
        <v>136</v>
      </c>
      <c r="C15" s="23">
        <f>(C9+C10-C11)*(1+'Fane 15. Nøgletal'!C9)</f>
        <v>30539837.639697701</v>
      </c>
      <c r="D15" s="14" t="s">
        <v>3</v>
      </c>
      <c r="E15" s="1"/>
    </row>
    <row r="16" spans="1:5" x14ac:dyDescent="0.3">
      <c r="A16" s="1"/>
      <c r="B16" s="65" t="s">
        <v>185</v>
      </c>
      <c r="C16" s="23">
        <f>('Fane 2.1. Økonomisk ramme 2025'!C11+'Fane 2.1. Økonomisk ramme 2025'!C13+'Fane 2.1. Økonomisk ramme 2025'!C15)*(1+'Fane 15. Nøgletal'!C10)</f>
        <v>587423.75413271552</v>
      </c>
      <c r="D16" s="14" t="s">
        <v>3</v>
      </c>
      <c r="E16" s="1"/>
    </row>
    <row r="17" spans="1:5" x14ac:dyDescent="0.3">
      <c r="A17" s="1"/>
      <c r="B17" s="65" t="s">
        <v>137</v>
      </c>
      <c r="C17" s="84">
        <f>(C15)*'Fane 15. Nøgletal'!C15+C16*'Fane 15. Nøgletal'!C16</f>
        <v>0</v>
      </c>
      <c r="D17" s="14" t="s">
        <v>3</v>
      </c>
      <c r="E17" s="1"/>
    </row>
    <row r="18" spans="1:5" x14ac:dyDescent="0.3">
      <c r="A18" s="1"/>
      <c r="B18" s="33"/>
      <c r="C18" s="28"/>
      <c r="D18" s="19"/>
      <c r="E18" s="1"/>
    </row>
    <row r="19" spans="1:5" x14ac:dyDescent="0.3">
      <c r="A19" s="1"/>
      <c r="B19" s="1"/>
      <c r="C19" s="1"/>
      <c r="D19" s="1"/>
      <c r="E19" s="1"/>
    </row>
    <row r="20" spans="1:5" x14ac:dyDescent="0.3">
      <c r="A20" s="1"/>
      <c r="B20" s="110" t="s">
        <v>82</v>
      </c>
      <c r="C20" s="111"/>
      <c r="D20" s="112"/>
      <c r="E20" s="1"/>
    </row>
    <row r="21" spans="1:5" x14ac:dyDescent="0.3">
      <c r="A21" s="1"/>
      <c r="B21" s="65" t="s">
        <v>192</v>
      </c>
      <c r="C21" s="23">
        <f>(C15+C16-C17)*(1+'Fane 15. Nøgletal'!C10)</f>
        <v>33190998.824241374</v>
      </c>
      <c r="D21" s="14" t="s">
        <v>3</v>
      </c>
      <c r="E21" s="1"/>
    </row>
    <row r="22" spans="1:5" x14ac:dyDescent="0.3">
      <c r="A22" s="1"/>
      <c r="B22" s="65" t="s">
        <v>197</v>
      </c>
      <c r="C22" s="84">
        <f>C21*'Fane 15. Nøgletal'!C16</f>
        <v>0</v>
      </c>
      <c r="D22" s="14" t="s">
        <v>3</v>
      </c>
      <c r="E22" s="1"/>
    </row>
    <row r="23" spans="1:5" x14ac:dyDescent="0.3">
      <c r="A23" s="1"/>
      <c r="B23" s="33"/>
      <c r="C23" s="28"/>
      <c r="D23" s="19"/>
      <c r="E23" s="1"/>
    </row>
    <row r="24" spans="1:5" x14ac:dyDescent="0.3">
      <c r="A24" s="1"/>
      <c r="B24" s="1"/>
      <c r="C24" s="1"/>
      <c r="D24" s="1"/>
      <c r="E24" s="1"/>
    </row>
    <row r="25" spans="1:5" x14ac:dyDescent="0.3">
      <c r="A25" s="1"/>
      <c r="B25" s="110" t="s">
        <v>138</v>
      </c>
      <c r="C25" s="111"/>
      <c r="D25" s="112"/>
      <c r="E25" s="1"/>
    </row>
    <row r="26" spans="1:5" x14ac:dyDescent="0.3">
      <c r="A26" s="1"/>
      <c r="B26" s="65" t="s">
        <v>193</v>
      </c>
      <c r="C26" s="23">
        <f>(C21-C22)*(1+'Fane 15. Nøgletal'!C10)</f>
        <v>35391562.04628858</v>
      </c>
      <c r="D26" s="14" t="s">
        <v>3</v>
      </c>
      <c r="E26" s="1"/>
    </row>
    <row r="27" spans="1:5" x14ac:dyDescent="0.3">
      <c r="A27" s="1"/>
      <c r="B27" s="65" t="s">
        <v>198</v>
      </c>
      <c r="C27" s="84">
        <f>C26*'Fane 15. Nøgletal'!C16</f>
        <v>0</v>
      </c>
      <c r="D27" s="14" t="s">
        <v>3</v>
      </c>
      <c r="E27" s="1"/>
    </row>
    <row r="28" spans="1:5" x14ac:dyDescent="0.3">
      <c r="A28" s="1"/>
      <c r="B28" s="33"/>
      <c r="C28" s="28"/>
      <c r="D28" s="19"/>
      <c r="E28" s="1"/>
    </row>
    <row r="29" spans="1:5" x14ac:dyDescent="0.3">
      <c r="A29" s="1"/>
      <c r="B29" s="1"/>
      <c r="C29" s="1"/>
      <c r="D29" s="1"/>
      <c r="E29" s="1"/>
    </row>
    <row r="30" spans="1:5" x14ac:dyDescent="0.3">
      <c r="A30" s="1"/>
      <c r="B30" s="110" t="s">
        <v>163</v>
      </c>
      <c r="C30" s="111"/>
      <c r="D30" s="112"/>
      <c r="E30" s="1"/>
    </row>
    <row r="31" spans="1:5" x14ac:dyDescent="0.3">
      <c r="A31" s="1"/>
      <c r="B31" s="65" t="s">
        <v>200</v>
      </c>
      <c r="C31" s="23">
        <f>(C26-C27)*(1+'Fane 15. Nøgletal'!C10)</f>
        <v>37738022.609957516</v>
      </c>
      <c r="D31" s="14" t="s">
        <v>3</v>
      </c>
      <c r="E31" s="1"/>
    </row>
    <row r="32" spans="1:5" x14ac:dyDescent="0.3">
      <c r="A32" s="1"/>
      <c r="B32" s="65" t="s">
        <v>199</v>
      </c>
      <c r="C32" s="84">
        <f>C31*'Fane 15. Nøgletal'!C16</f>
        <v>0</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Yn9xEA2a+tVpFIOvj5IXjYgxUA83fOJJ5iPIentoIksmt4feSByz9G2vXqgThaTZLakfbpiGZnQXMovquy/Dag==" saltValue="F2rDnAtm8/4Q6XF4hRwZd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06" t="s">
        <v>44</v>
      </c>
      <c r="C3" s="106"/>
      <c r="D3" s="1"/>
    </row>
    <row r="4" spans="1:4" ht="15" customHeight="1" x14ac:dyDescent="0.3">
      <c r="A4" s="1"/>
      <c r="B4" s="106"/>
      <c r="C4" s="106"/>
      <c r="D4" s="1"/>
    </row>
    <row r="5" spans="1:4" x14ac:dyDescent="0.3">
      <c r="A5" s="1"/>
      <c r="B5" s="1"/>
      <c r="C5" s="1"/>
      <c r="D5" s="1"/>
    </row>
    <row r="6" spans="1:4" x14ac:dyDescent="0.3">
      <c r="A6" s="1"/>
      <c r="B6" s="1"/>
      <c r="C6" s="1"/>
      <c r="D6" s="1"/>
    </row>
    <row r="7" spans="1:4" x14ac:dyDescent="0.3">
      <c r="A7" s="1"/>
      <c r="B7" s="1"/>
      <c r="C7" s="1"/>
      <c r="D7" s="1"/>
    </row>
    <row r="8" spans="1:4" x14ac:dyDescent="0.3">
      <c r="A8" s="1"/>
      <c r="B8" s="110" t="s">
        <v>10</v>
      </c>
      <c r="C8" s="112"/>
      <c r="D8" s="1"/>
    </row>
    <row r="9" spans="1:4" x14ac:dyDescent="0.3">
      <c r="A9" s="1"/>
      <c r="B9" s="65" t="s">
        <v>164</v>
      </c>
      <c r="C9" s="22">
        <v>1.2112477255451119E-2</v>
      </c>
      <c r="D9" s="1"/>
    </row>
    <row r="10" spans="1:4" x14ac:dyDescent="0.3">
      <c r="A10" s="1"/>
      <c r="B10" s="33"/>
      <c r="C10" s="19"/>
      <c r="D10" s="1"/>
    </row>
    <row r="11" spans="1:4" x14ac:dyDescent="0.3">
      <c r="A11" s="1"/>
      <c r="B11" s="114" t="s">
        <v>220</v>
      </c>
      <c r="C11" s="115"/>
      <c r="D11" s="1"/>
    </row>
    <row r="12" spans="1:4" x14ac:dyDescent="0.3">
      <c r="A12" s="1"/>
      <c r="B12" s="116"/>
      <c r="C12" s="117"/>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sheetData>
  <sheetProtection algorithmName="SHA-512" hashValue="VQKmyc9KH5iGpLv6F+xMK+GZunF67gxAnTLXU0XrYGiQfJyDWfjLopaAOQr+sHFYMwaGdTIxgwmQhxJ5kCDXYA==" saltValue="SakMCYosotzd48pkqbxUf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2024-09-09T08:56:11Z</dcterms:modified>
</cp:coreProperties>
</file>