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Lolland Vand AS (V12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<sst xmlns="http://schemas.openxmlformats.org/spreadsheetml/2006/main" count="509" uniqueCount="254">
  <si>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</si>
  <si>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</si>
  <si>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</si>
  <si>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</si>
  <si>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</si>
  <si>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</si>
  <si>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</si>
  <si>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</si>
  <si>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</si>
  <si>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</si>
  <si>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</si>
  <si>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</si>
  <si>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</si>
  <si>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</si>
  <si>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</si>
  <si>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</si>
  <si>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</si>
  <si>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</si>
  <si>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</si>
  <si>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</si>
  <si>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</si>
  <si>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</si>
  <si>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</si>
  <si>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</si>
  <si>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</si>
  <si>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</si>
  <si>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</si>
  <si>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</si>
  <si>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</si>
  <si>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</si>
  <si>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</si>
  <si>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</si>
  <si>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</si>
  <si>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</si>
  <si>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</si>
  <si>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</si>
  <si>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</si>
  <si>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</si>
  <si>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</si>
  <si>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</si>
  <si>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</si>
  <si>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</si>
  <si>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</si>
  <si>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</si>
  <si>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</si>
  <si>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</si>
  <si>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</si>
  <si>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</si>
  <si>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</si>
  <si>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</si>
  <si>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</si>
  <si>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</si>
  <si>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</si>
  <si>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</si>
  <si>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</si>
  <si>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</si>
  <si>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</si>
  <si>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</si>
  <si>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</si>
  <si>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</si>
  <si>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</si>
  <si>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</si>
  <si>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</si>
  <si>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</si>
  <si>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</si>
  <si>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</si>
  <si>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</si>
  <si>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</si>
  <si>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</si>
  <si>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</si>
  <si>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</si>
  <si>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</si>
  <si>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</si>
  <si>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</si>
  <si>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</si>
  <si>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</si>
  <si>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</si>
  <si>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</si>
  <si>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</si>
  <si>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</si>
  <si>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</si>
  <si>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</si>
  <si>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</si>
  <si>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</si>
  <si>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</si>
  <si>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</si>
  <si>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</si>
  <si>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</si>
  <si>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</si>
  <si>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</si>
  <si>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</si>
  <si>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</si>
  <si>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</si>
  <si>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</si>
  <si>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</si>
  <si>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</si>
  <si>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</si>
  <si>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</si>
  <si>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</si>
  <si>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</si>
  <si>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</si>
  <si>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</si>
  <si>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</si>
  <si>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</si>
  <si>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</si>
  <si>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</si>
  <si>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</si>
  <si>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</si>
  <si>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</si>
  <si>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</si>
  <si>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</si>
  <si>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</si>
  <si>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</si>
  <si>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</si>
  <si>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</si>
  <si>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</si>
  <si>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</si>
  <si>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</si>
  <si>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</si>
  <si>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</si>
  <si>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</si>
  <si>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</si>
  <si>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</si>
  <si>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</si>
  <si>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</si>
  <si>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</si>
  <si>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</si>
  <si>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</si>
  <si>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</si>
  <si>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</si>
  <si>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</si>
  <si>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</si>
  <si>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</si>
  <si>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</si>
  <si>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</si>
  <si>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</si>
  <si>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</si>
  <si>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</si>
  <si>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</si>
  <si>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</si>
  <si>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</si>
  <si>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</si>
  <si>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</si>
  <si>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</si>
  <si>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</si>
  <si>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</si>
  <si>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</si>
  <si>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</si>
  <si>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</si>
  <si>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</si>
  <si>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</si>
  <si>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</si>
  <si>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</si>
  <si>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</si>
  <si>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</si>
  <si>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</si>
  <si>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</si>
  <si>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</si>
  <si>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</si>
  <si>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</si>
  <si>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</si>
  <si>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</si>
  <si>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</si>
  <si>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</si>
  <si>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</si>
  <si>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</si>
  <si>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</si>
  <si>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</si>
  <si>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</si>
  <si>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</si>
  <si>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</si>
  <si>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</si>
  <si>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</si>
  <si>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</si>
  <si>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</si>
  <si>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</si>
  <si>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</si>
  <si>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</si>
  <si>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</si>
  <si>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</si>
  <si>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</si>
  <si>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</si>
  <si>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</si>
  <si>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</si>
  <si>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</si>
  <si>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</si>
  <si>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</si>
  <si>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</si>
  <si>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</si>
  <si>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</si>
  <si>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</si>
  <si>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</si>
  <si>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</si>
  <si>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</si>
  <si>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</si>
  <si>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</si>
  <si>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</si>
  <si>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</si>
  <si>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</si>
  <si>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</si>
  <si>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</si>
  <si>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</si>
  <si>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</si>
  <si>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</si>
  <si>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</si>
  <si>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</si>
  <si>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</si>
  <si>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</si>
  <si>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</si>
  <si>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</si>
  <si>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</si>
  <si>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</si>
  <si>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</si>
  <si>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</si>
  <si>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</si>
  <si>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</si>
  <si>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</si>
  <si>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</si>
  <si>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</si>
  <si>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</si>
  <si>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</si>
  <si>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</si>
  <si>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</si>
  <si>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</si>
  <si>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</si>
  <si>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</si>
  <si>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</si>
  <si>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</si>
  <si>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</si>
  <si>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</si>
  <si>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</si>
  <si>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</si>
  <si>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</si>
  <si>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</si>
  <si>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</si>
  <si>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</si>
  <si>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</si>
  <si>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</si>
  <si>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</si>
  <si>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</si>
  <si>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</si>
  <si>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</si>
  <si>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Øget vandforbrug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</si>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</sst>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10" fontId="8" fillId="0" borderId="10" xfId="4" applyNumberFormat="1" applyFont="1" applyFill="1" applyBorder="1" applyAlignment="1" applyProtection="1">
      <alignmen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py6Lbo8s/aipHVjnUS+iEn5T0FYRxTf9k1+zei+mgmmg/jaMbaKcoJrIRfYbMoBZQP2g9FQWUSRUjGJCXkRlBg==" saltValue="Iyoj0xAwo4nZbr99Zj5bG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1" t="s">
        <v>30</v>
      </c>
      <c r="C9" s="11" t="s">
        <v>212</v>
      </c>
      <c r="D9" s="11"/>
      <c r="E9" s="1"/>
      <c r="F9" s="1"/>
    </row>
    <row r="10" spans="1:6" x14ac:dyDescent="0.25">
      <c r="A10" s="1"/>
      <c r="B10" s="75" t="s">
        <v>231</v>
      </c>
      <c r="C10" s="9">
        <v>10126304</v>
      </c>
      <c r="D10" s="14" t="s">
        <v>3</v>
      </c>
      <c r="E10" s="1"/>
      <c r="F10" s="1"/>
    </row>
    <row r="11" spans="1:6" x14ac:dyDescent="0.25">
      <c r="A11" s="1"/>
      <c r="B11" s="75" t="s">
        <v>232</v>
      </c>
      <c r="C11" s="9">
        <v>92563</v>
      </c>
      <c r="D11" s="14" t="s">
        <v>3</v>
      </c>
      <c r="E11" s="1"/>
      <c r="F11" s="1"/>
    </row>
    <row r="12" spans="1:6" x14ac:dyDescent="0.25">
      <c r="A12" s="1"/>
      <c r="B12" s="75" t="s">
        <v>233</v>
      </c>
      <c r="C12" s="9">
        <v>39528</v>
      </c>
      <c r="D12" s="14" t="s">
        <v>3</v>
      </c>
      <c r="E12" s="1"/>
      <c r="F12" s="1"/>
    </row>
    <row r="13" spans="1:6" x14ac:dyDescent="0.25">
      <c r="A13" s="1"/>
      <c r="B13" s="75" t="s">
        <v>234</v>
      </c>
      <c r="C13" s="9">
        <v>10017</v>
      </c>
      <c r="D13" s="14" t="s">
        <v>3</v>
      </c>
      <c r="E13" s="1"/>
      <c r="F13" s="1"/>
    </row>
    <row r="14" spans="1:6" x14ac:dyDescent="0.25">
      <c r="A14" s="1"/>
      <c r="B14" s="63" t="s">
        <v>182</v>
      </c>
      <c r="C14" s="12">
        <f>SUM(C10:C13)</f>
        <v>10268412</v>
      </c>
      <c r="D14" s="13" t="s">
        <v>3</v>
      </c>
      <c r="E14" s="1"/>
      <c r="F14" s="1"/>
    </row>
    <row r="15" spans="1:6" x14ac:dyDescent="0.25">
      <c r="A15" s="1"/>
      <c r="B15" s="63" t="s">
        <v>183</v>
      </c>
      <c r="C15" s="12">
        <f>C14*(1+'Fane 13. Nøgletal'!C15)^2</f>
        <v>11012536.709032321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JgBuhZ2ybJl1cYys+YIT9AzeiWPJXo6u6Qg5kiiGNQlRoQnXrFhgr0qqTYXaV41rGPjGVwMyv1yeNVNP9TTrVQ==" saltValue="pS9s1y7+4XOhk3QrQJEE3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-1493106</v>
      </c>
      <c r="F9" s="14" t="s">
        <v>3</v>
      </c>
      <c r="G9" s="1"/>
    </row>
    <row r="10" spans="1:7" x14ac:dyDescent="0.25">
      <c r="A10" s="1"/>
      <c r="B10" s="139" t="s">
        <v>235</v>
      </c>
      <c r="C10" s="140"/>
      <c r="D10" s="141"/>
      <c r="E10" s="9">
        <v>-489249.44684772193</v>
      </c>
      <c r="F10" s="49" t="s">
        <v>3</v>
      </c>
      <c r="G10" s="1"/>
    </row>
    <row r="11" spans="1:7" x14ac:dyDescent="0.25">
      <c r="A11" s="1"/>
      <c r="B11" s="124" t="s">
        <v>185</v>
      </c>
      <c r="C11" s="125"/>
      <c r="D11" s="126"/>
      <c r="E11" s="9">
        <v>1823409.6479086652</v>
      </c>
      <c r="F11" s="14" t="s">
        <v>3</v>
      </c>
      <c r="G11" s="1"/>
    </row>
    <row r="12" spans="1:7" x14ac:dyDescent="0.25">
      <c r="A12" s="1"/>
      <c r="B12" s="63"/>
      <c r="C12" s="64"/>
      <c r="D12" s="64"/>
      <c r="E12" s="64"/>
      <c r="F12" s="19"/>
      <c r="G12" s="1"/>
    </row>
    <row r="13" spans="1:7" ht="64.900000000000006" customHeight="1" x14ac:dyDescent="0.25">
      <c r="A13" s="1"/>
      <c r="B13" s="100" t="s">
        <v>251</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236</v>
      </c>
      <c r="C16" s="125"/>
      <c r="D16" s="126"/>
      <c r="E16" s="9">
        <v>0</v>
      </c>
      <c r="F16" s="14" t="s">
        <v>3</v>
      </c>
      <c r="G16" s="1"/>
    </row>
    <row r="17" spans="1:7" x14ac:dyDescent="0.25">
      <c r="A17" s="1"/>
      <c r="B17" s="124" t="s">
        <v>237</v>
      </c>
      <c r="C17" s="125"/>
      <c r="D17" s="126"/>
      <c r="E17" s="9">
        <v>0</v>
      </c>
      <c r="F17" s="14" t="s">
        <v>3</v>
      </c>
      <c r="G17" s="1"/>
    </row>
    <row r="18" spans="1:7" x14ac:dyDescent="0.25">
      <c r="A18" s="1"/>
      <c r="B18" s="63"/>
      <c r="C18" s="64"/>
      <c r="D18" s="64"/>
      <c r="E18" s="64"/>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238</v>
      </c>
      <c r="C22" s="73"/>
      <c r="D22" s="74"/>
      <c r="E22" s="9">
        <v>44317444.23924315</v>
      </c>
      <c r="F22" s="14" t="s">
        <v>3</v>
      </c>
      <c r="G22" s="1"/>
    </row>
    <row r="23" spans="1:7" x14ac:dyDescent="0.25">
      <c r="A23" s="1"/>
      <c r="B23" s="72" t="s">
        <v>187</v>
      </c>
      <c r="C23" s="73"/>
      <c r="D23" s="74"/>
      <c r="E23" s="9">
        <v>44682904</v>
      </c>
      <c r="F23" s="14" t="s">
        <v>3</v>
      </c>
      <c r="G23" s="1"/>
    </row>
    <row r="24" spans="1:7" x14ac:dyDescent="0.25">
      <c r="A24" s="1"/>
      <c r="B24" s="72" t="s">
        <v>31</v>
      </c>
      <c r="C24" s="73"/>
      <c r="D24" s="74"/>
      <c r="E24" s="9">
        <v>0</v>
      </c>
      <c r="F24" s="14" t="s">
        <v>3</v>
      </c>
      <c r="G24" s="1"/>
    </row>
    <row r="25" spans="1:7" x14ac:dyDescent="0.25">
      <c r="A25" s="1"/>
      <c r="B25" s="46" t="s">
        <v>252</v>
      </c>
      <c r="C25" s="47"/>
      <c r="D25" s="48"/>
      <c r="E25" s="52">
        <f>E22-(E23-E24)</f>
        <v>-365459.76075685024</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7" t="s">
        <v>239</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0"/>
      <c r="C38" s="50"/>
      <c r="D38" s="50"/>
      <c r="E38" s="50"/>
      <c r="F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sheetData>
  <sheetProtection algorithmName="SHA-512" hashValue="L91hYiQmPGCPDmyier3sfj/lNx/hc84xfqa8ecJ2UXFa7jdXqocyR53ksSZ3LaxPjPKTjCVRD+cmDAQVCkInlQ==" saltValue="vP8U6JjdB8NLOCs6ljZEr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5" customWidth="1"/>
    <col min="2" max="2" width="22.5703125" style="35" customWidth="1"/>
    <col min="3" max="3" width="8.28515625" style="35" customWidth="1"/>
    <col min="4" max="6" width="10.7109375" style="35" customWidth="1"/>
    <col min="7" max="7" width="11" style="35" customWidth="1"/>
    <col min="8" max="8" width="3.28515625" style="35" customWidth="1"/>
    <col min="9" max="9" width="4.85546875" style="35" customWidth="1"/>
    <col min="10" max="16384" width="9" style="3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243</v>
      </c>
      <c r="C10" s="146"/>
      <c r="D10" s="146"/>
      <c r="E10" s="146"/>
      <c r="F10" s="147"/>
      <c r="G10" s="51">
        <v>0</v>
      </c>
      <c r="H10" s="9" t="s">
        <v>3</v>
      </c>
      <c r="I10" s="1"/>
    </row>
    <row r="11" spans="1:9" x14ac:dyDescent="0.25">
      <c r="A11" s="1"/>
      <c r="B11" s="145" t="s">
        <v>244</v>
      </c>
      <c r="C11" s="146"/>
      <c r="D11" s="146"/>
      <c r="E11" s="146"/>
      <c r="F11" s="147"/>
      <c r="G11" s="51">
        <v>0</v>
      </c>
      <c r="H11" s="9" t="s">
        <v>3</v>
      </c>
      <c r="I11" s="1"/>
    </row>
    <row r="12" spans="1:9" x14ac:dyDescent="0.25">
      <c r="A12" s="1"/>
      <c r="B12" s="145" t="s">
        <v>245</v>
      </c>
      <c r="C12" s="146"/>
      <c r="D12" s="146"/>
      <c r="E12" s="146"/>
      <c r="F12" s="147"/>
      <c r="G12" s="9">
        <v>0</v>
      </c>
      <c r="H12" s="9" t="s">
        <v>3</v>
      </c>
      <c r="I12" s="1"/>
    </row>
    <row r="13" spans="1:9" x14ac:dyDescent="0.25">
      <c r="A13" s="1"/>
      <c r="B13" s="145" t="s">
        <v>246</v>
      </c>
      <c r="C13" s="146"/>
      <c r="D13" s="146"/>
      <c r="E13" s="146"/>
      <c r="F13" s="147"/>
      <c r="G13" s="9">
        <v>0</v>
      </c>
      <c r="H13" s="9" t="s">
        <v>3</v>
      </c>
      <c r="I13" s="1"/>
    </row>
    <row r="14" spans="1:9" x14ac:dyDescent="0.25">
      <c r="A14" s="1"/>
      <c r="B14" s="145" t="s">
        <v>247</v>
      </c>
      <c r="C14" s="146"/>
      <c r="D14" s="146"/>
      <c r="E14" s="146"/>
      <c r="F14" s="147"/>
      <c r="G14" s="9">
        <v>0</v>
      </c>
      <c r="H14" s="9" t="s">
        <v>3</v>
      </c>
      <c r="I14" s="1"/>
    </row>
    <row r="15" spans="1:9" x14ac:dyDescent="0.25">
      <c r="A15" s="1"/>
      <c r="B15" s="145" t="s">
        <v>248</v>
      </c>
      <c r="C15" s="146"/>
      <c r="D15" s="146"/>
      <c r="E15" s="146"/>
      <c r="F15" s="147"/>
      <c r="G15" s="9">
        <v>0</v>
      </c>
      <c r="H15" s="9" t="s">
        <v>3</v>
      </c>
      <c r="I15" s="1"/>
    </row>
    <row r="16" spans="1:9" x14ac:dyDescent="0.25">
      <c r="A16" s="1"/>
      <c r="B16" s="145" t="s">
        <v>249</v>
      </c>
      <c r="C16" s="146"/>
      <c r="D16" s="146"/>
      <c r="E16" s="146"/>
      <c r="F16" s="147"/>
      <c r="G16" s="9">
        <v>0</v>
      </c>
      <c r="H16" s="9" t="s">
        <v>3</v>
      </c>
      <c r="I16" s="1"/>
    </row>
    <row r="17" spans="1:9" x14ac:dyDescent="0.25">
      <c r="A17" s="1"/>
      <c r="B17" s="145" t="s">
        <v>250</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1/w4I2q9Hp1UTX4ezoQAue+mFO1igXFMhrwbiPwxqMYB7TO+qquWFwsfe3zIJt41Dx5JnoVSsdx4BMPxg6lkQ==" saltValue="BFs16jdnFBEkrodPz+u1u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showWhiteSpace="0" view="pageLayout" zoomScaleNormal="100" workbookViewId="0"/>
  </sheetViews>
  <sheetFormatPr defaultColWidth="9" defaultRowHeight="15" x14ac:dyDescent="0.25"/>
  <cols>
    <col min="1" max="1" width="3.85546875" style="2" customWidth="1"/>
    <col min="2" max="2" width="23.42578125" style="2" customWidth="1"/>
    <col min="3" max="3" width="7.28515625" style="2" customWidth="1"/>
    <col min="4" max="4" width="8.42578125" style="2" customWidth="1"/>
    <col min="5" max="5" width="2.7109375" style="2" customWidth="1"/>
    <col min="6" max="6" width="8.42578125" style="2" customWidth="1"/>
    <col min="7" max="7" width="2.7109375" style="2" customWidth="1"/>
    <col min="8" max="8" width="8.42578125" style="2" customWidth="1"/>
    <col min="9" max="9" width="2.7109375" style="2" customWidth="1"/>
    <col min="10" max="10" width="8.425781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8">
        <v>0</v>
      </c>
      <c r="D10" s="9">
        <v>0</v>
      </c>
      <c r="E10" s="14" t="s">
        <v>3</v>
      </c>
      <c r="F10" s="34">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Z1zy/2c5Xc7dIKFExIUDtW+7r0mW7qqVuDCKK08qliBTryCg7f+wDeqFRqKTe8SRyfYP7HNLo7JlmkbP3UE8g==" saltValue="JmT4uxK0cJ2egN510SomL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4"/>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350312</v>
      </c>
      <c r="D11" s="14" t="s">
        <v>3</v>
      </c>
      <c r="E11" s="9">
        <v>0</v>
      </c>
      <c r="F11" s="14" t="s">
        <v>3</v>
      </c>
      <c r="G11" s="1"/>
    </row>
    <row r="12" spans="1:7" x14ac:dyDescent="0.25">
      <c r="A12" s="1"/>
      <c r="B12" s="63" t="s">
        <v>148</v>
      </c>
      <c r="C12" s="12">
        <f>SUM(C10:C11)</f>
        <v>350312</v>
      </c>
      <c r="D12" s="13" t="s">
        <v>3</v>
      </c>
      <c r="E12" s="12">
        <f>SUM(E10:E11)</f>
        <v>0</v>
      </c>
      <c r="F12" s="13" t="s">
        <v>3</v>
      </c>
      <c r="G12" s="1"/>
    </row>
    <row r="13" spans="1:7" x14ac:dyDescent="0.25">
      <c r="A13" s="1"/>
      <c r="B13" s="63" t="s">
        <v>188</v>
      </c>
      <c r="C13" s="12">
        <f>C12*(1+'Fane 13. Nøgletal'!C15)</f>
        <v>362783.10720000003</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PS/vINUvNKdQOlRyDU7QaZa54K9S3C9pSb6WSwTGszd0k2WrLrqgR/MweeR8YjIG1HU/eD/k/dAS6J19Dv/ngw==" saltValue="RN5CW3xzIRijIUQISatCv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1" t="s">
        <v>15</v>
      </c>
      <c r="C10" s="61" t="s">
        <v>10</v>
      </c>
      <c r="D10" s="62"/>
      <c r="E10" s="61" t="s">
        <v>29</v>
      </c>
      <c r="F10" s="66"/>
      <c r="G10" s="1"/>
    </row>
    <row r="11" spans="1:7" x14ac:dyDescent="0.25">
      <c r="A11" s="1"/>
      <c r="B11" s="22" t="s">
        <v>253</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HuF/KKNLbRh+0I3sLEIAk+31u+LLLKM4zmxri5gDy557oL6BOZiGfHABeSpqn1q9Xl0HPmTlOwi+aszxnUhusw==" saltValue="MH5W/kkyKWVmz8UcdXi9o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5" t="s">
        <v>113</v>
      </c>
      <c r="C9" s="109" t="s">
        <v>10</v>
      </c>
      <c r="D9" s="111"/>
      <c r="E9" s="109" t="s">
        <v>29</v>
      </c>
      <c r="F9" s="111"/>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h4nNym/DATu4Ow/OFBBaiOWr/5QjwJ9Fs2FeqLPMWpS7bVKlfJzpJ0CDFJkELCR9o8u6TxkYGlzIamfQcSu0g==" saltValue="kQX7LkYS7pmAyPWYBWi5Z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5" t="s">
        <v>16</v>
      </c>
      <c r="C11" s="65" t="s">
        <v>10</v>
      </c>
      <c r="D11" s="66"/>
      <c r="E11" s="65" t="s">
        <v>29</v>
      </c>
      <c r="F11" s="66"/>
      <c r="G11" s="1"/>
    </row>
    <row r="12" spans="1:7" x14ac:dyDescent="0.25">
      <c r="A12" s="1"/>
      <c r="B12" s="22" t="s">
        <v>241</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CiG00FvWHLFToB3B/oY6+8ScS1S9HbHygeQeCm+tM6Uj6Aql2qKaPZ4W1A2bYA3xChtQh7QTtyKQB2cMh4IIRg==" saltValue="ChTfOa997k7rNA7n+nDUQ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4" customWidth="1"/>
    <col min="4" max="4" width="9" style="2" customWidth="1"/>
    <col min="5" max="16384" width="9" style="2"/>
  </cols>
  <sheetData>
    <row r="1" spans="1:4" x14ac:dyDescent="0.25">
      <c r="A1" s="1"/>
      <c r="B1" s="1"/>
      <c r="C1" s="39"/>
      <c r="D1" s="1"/>
    </row>
    <row r="2" spans="1:4" x14ac:dyDescent="0.25">
      <c r="A2" s="1"/>
      <c r="B2" s="1"/>
      <c r="C2" s="39"/>
      <c r="D2" s="1"/>
    </row>
    <row r="3" spans="1:4" ht="15" customHeight="1" x14ac:dyDescent="0.25">
      <c r="A3" s="1"/>
      <c r="B3" s="120" t="s">
        <v>225</v>
      </c>
      <c r="C3" s="120"/>
      <c r="D3" s="1"/>
    </row>
    <row r="4" spans="1:4" ht="25.5" customHeight="1" x14ac:dyDescent="0.25">
      <c r="A4" s="1"/>
      <c r="B4" s="120"/>
      <c r="C4" s="120"/>
      <c r="D4" s="1"/>
    </row>
    <row r="5" spans="1:4" x14ac:dyDescent="0.25">
      <c r="A5" s="1"/>
      <c r="B5" s="1"/>
      <c r="C5" s="39"/>
      <c r="D5" s="1"/>
    </row>
    <row r="6" spans="1:4" x14ac:dyDescent="0.25">
      <c r="A6" s="1"/>
      <c r="B6" s="1"/>
      <c r="C6" s="39"/>
      <c r="D6" s="1"/>
    </row>
    <row r="7" spans="1:4" x14ac:dyDescent="0.25">
      <c r="A7" s="1"/>
      <c r="B7" s="1"/>
      <c r="C7" s="39"/>
      <c r="D7" s="1"/>
    </row>
    <row r="8" spans="1:4" x14ac:dyDescent="0.25">
      <c r="A8" s="1"/>
      <c r="B8" s="63" t="s">
        <v>13</v>
      </c>
      <c r="C8" s="40"/>
      <c r="D8" s="1"/>
    </row>
    <row r="9" spans="1:4" x14ac:dyDescent="0.25">
      <c r="A9" s="1"/>
      <c r="B9" s="75" t="s">
        <v>101</v>
      </c>
      <c r="C9" s="41">
        <v>1.2699999999999999E-2</v>
      </c>
      <c r="D9" s="1"/>
    </row>
    <row r="10" spans="1:4" x14ac:dyDescent="0.25">
      <c r="A10" s="1"/>
      <c r="B10" s="75" t="s">
        <v>21</v>
      </c>
      <c r="C10" s="41">
        <v>1.7500000000000002E-2</v>
      </c>
      <c r="D10" s="1"/>
    </row>
    <row r="11" spans="1:4" x14ac:dyDescent="0.25">
      <c r="A11" s="1"/>
      <c r="B11" s="75" t="s">
        <v>102</v>
      </c>
      <c r="C11" s="41">
        <v>1.6899999999999998E-2</v>
      </c>
      <c r="D11" s="1"/>
    </row>
    <row r="12" spans="1:4" x14ac:dyDescent="0.25">
      <c r="A12" s="1"/>
      <c r="B12" s="24" t="s">
        <v>37</v>
      </c>
      <c r="C12" s="42">
        <v>1.9699999999999999E-2</v>
      </c>
      <c r="D12" s="1"/>
    </row>
    <row r="13" spans="1:4" x14ac:dyDescent="0.25">
      <c r="A13" s="1"/>
      <c r="B13" s="24" t="s">
        <v>118</v>
      </c>
      <c r="C13" s="42">
        <v>1.2200000000000001E-2</v>
      </c>
      <c r="D13" s="1"/>
    </row>
    <row r="14" spans="1:4" x14ac:dyDescent="0.25">
      <c r="A14" s="1"/>
      <c r="B14" s="24" t="s">
        <v>150</v>
      </c>
      <c r="C14" s="43">
        <v>3.3E-3</v>
      </c>
      <c r="D14" s="1"/>
    </row>
    <row r="15" spans="1:4" x14ac:dyDescent="0.25">
      <c r="A15" s="1"/>
      <c r="B15" s="24" t="s">
        <v>190</v>
      </c>
      <c r="C15" s="43">
        <v>3.56E-2</v>
      </c>
      <c r="D15" s="1"/>
    </row>
    <row r="16" spans="1:4" x14ac:dyDescent="0.25">
      <c r="A16" s="1"/>
      <c r="B16" s="117"/>
      <c r="C16" s="119"/>
      <c r="D16" s="1"/>
    </row>
    <row r="17" spans="1:4" x14ac:dyDescent="0.25">
      <c r="A17" s="1"/>
      <c r="B17" s="1"/>
      <c r="C17" s="39"/>
      <c r="D17" s="1"/>
    </row>
    <row r="18" spans="1:4" x14ac:dyDescent="0.25">
      <c r="A18" s="1"/>
      <c r="B18" s="1"/>
      <c r="C18" s="39"/>
      <c r="D18" s="1"/>
    </row>
    <row r="19" spans="1:4" x14ac:dyDescent="0.25">
      <c r="A19" s="1"/>
      <c r="B19" s="63" t="s">
        <v>89</v>
      </c>
      <c r="C19" s="40"/>
      <c r="D19" s="1"/>
    </row>
    <row r="20" spans="1:4" x14ac:dyDescent="0.25">
      <c r="A20" s="1"/>
      <c r="B20" s="75" t="s">
        <v>103</v>
      </c>
      <c r="C20" s="43">
        <v>9.1000000000000004E-3</v>
      </c>
      <c r="D20" s="1"/>
    </row>
    <row r="21" spans="1:4" x14ac:dyDescent="0.25">
      <c r="A21" s="1"/>
      <c r="B21" s="75" t="s">
        <v>104</v>
      </c>
      <c r="C21" s="43">
        <v>1.77E-2</v>
      </c>
      <c r="D21" s="1"/>
    </row>
    <row r="22" spans="1:4" x14ac:dyDescent="0.25">
      <c r="A22" s="1"/>
      <c r="B22" s="75" t="s">
        <v>105</v>
      </c>
      <c r="C22" s="43">
        <v>8.6999999999999994E-3</v>
      </c>
      <c r="D22" s="1"/>
    </row>
    <row r="23" spans="1:4" x14ac:dyDescent="0.25">
      <c r="A23" s="1"/>
      <c r="B23" s="75" t="s">
        <v>106</v>
      </c>
      <c r="C23" s="43">
        <v>2.8399999999999998E-2</v>
      </c>
      <c r="D23" s="1"/>
    </row>
    <row r="24" spans="1:4" x14ac:dyDescent="0.25">
      <c r="A24" s="1"/>
      <c r="B24" s="75" t="s">
        <v>120</v>
      </c>
      <c r="C24" s="43">
        <v>2.75E-2</v>
      </c>
      <c r="D24" s="1"/>
    </row>
    <row r="25" spans="1:4" x14ac:dyDescent="0.25">
      <c r="A25" s="1"/>
      <c r="B25" s="75" t="s">
        <v>151</v>
      </c>
      <c r="C25" s="43">
        <v>1.4800000000000001E-2</v>
      </c>
      <c r="D25" s="1"/>
    </row>
    <row r="26" spans="1:4" x14ac:dyDescent="0.25">
      <c r="A26" s="1"/>
      <c r="B26" s="24" t="s">
        <v>191</v>
      </c>
      <c r="C26" s="43">
        <v>0</v>
      </c>
      <c r="D26" s="1"/>
    </row>
    <row r="27" spans="1:4" x14ac:dyDescent="0.25">
      <c r="A27" s="1"/>
      <c r="B27" s="63"/>
      <c r="C27" s="40"/>
      <c r="D27" s="1"/>
    </row>
    <row r="28" spans="1:4" x14ac:dyDescent="0.25">
      <c r="A28" s="1"/>
      <c r="B28" s="1"/>
      <c r="C28" s="39"/>
      <c r="D28" s="1"/>
    </row>
    <row r="29" spans="1:4" x14ac:dyDescent="0.25">
      <c r="A29" s="1"/>
      <c r="B29" s="1"/>
      <c r="C29" s="39"/>
      <c r="D29" s="1"/>
    </row>
    <row r="30" spans="1:4" x14ac:dyDescent="0.25">
      <c r="A30" s="1"/>
      <c r="B30" s="63" t="s">
        <v>90</v>
      </c>
      <c r="C30" s="40"/>
      <c r="D30" s="1"/>
    </row>
    <row r="31" spans="1:4" x14ac:dyDescent="0.25">
      <c r="A31" s="1"/>
      <c r="B31" s="75" t="s">
        <v>107</v>
      </c>
      <c r="C31" s="41">
        <v>0.02</v>
      </c>
      <c r="D31" s="1"/>
    </row>
    <row r="32" spans="1:4" x14ac:dyDescent="0.25">
      <c r="A32" s="1"/>
      <c r="B32" s="63"/>
      <c r="C32" s="40"/>
      <c r="D32" s="1"/>
    </row>
    <row r="33" spans="1:4" x14ac:dyDescent="0.25">
      <c r="A33" s="1"/>
      <c r="B33" s="1"/>
      <c r="C33" s="39"/>
      <c r="D33" s="1"/>
    </row>
    <row r="34" spans="1:4" x14ac:dyDescent="0.25">
      <c r="A34" s="1"/>
      <c r="B34" s="1"/>
      <c r="C34" s="39"/>
      <c r="D34" s="1"/>
    </row>
    <row r="35" spans="1:4" x14ac:dyDescent="0.25">
      <c r="A35" s="1"/>
      <c r="B35" s="1"/>
      <c r="C35" s="39"/>
      <c r="D35" s="1"/>
    </row>
    <row r="36" spans="1:4" x14ac:dyDescent="0.25">
      <c r="A36" s="1"/>
      <c r="B36" s="1"/>
      <c r="C36" s="39"/>
      <c r="D36" s="1"/>
    </row>
    <row r="37" spans="1:4" x14ac:dyDescent="0.25">
      <c r="A37" s="1"/>
      <c r="B37" s="1"/>
      <c r="C37" s="39"/>
      <c r="D37" s="1"/>
    </row>
    <row r="38" spans="1:4" x14ac:dyDescent="0.25">
      <c r="A38" s="1"/>
      <c r="B38" s="1"/>
      <c r="C38" s="39"/>
      <c r="D38" s="1"/>
    </row>
    <row r="39" spans="1:4" x14ac:dyDescent="0.25">
      <c r="A39" s="1"/>
      <c r="B39" s="1"/>
      <c r="C39" s="39"/>
      <c r="D39" s="1"/>
    </row>
    <row r="40" spans="1:4" x14ac:dyDescent="0.25">
      <c r="A40" s="1"/>
      <c r="B40" s="1"/>
      <c r="C40" s="39"/>
      <c r="D40" s="1"/>
    </row>
    <row r="41" spans="1:4" x14ac:dyDescent="0.25">
      <c r="A41" s="1"/>
      <c r="B41" s="1"/>
      <c r="C41" s="39"/>
      <c r="D41" s="1"/>
    </row>
    <row r="42" spans="1:4" x14ac:dyDescent="0.25">
      <c r="A42" s="1"/>
      <c r="B42" s="1"/>
      <c r="C42" s="39"/>
      <c r="D42" s="1"/>
    </row>
    <row r="43" spans="1:4" x14ac:dyDescent="0.25">
      <c r="A43" s="1"/>
      <c r="B43" s="1"/>
      <c r="C43" s="39"/>
      <c r="D43" s="1"/>
    </row>
    <row r="44" spans="1:4" x14ac:dyDescent="0.25">
      <c r="A44" s="1"/>
      <c r="B44" s="1"/>
      <c r="C44" s="39"/>
      <c r="D44" s="1"/>
    </row>
    <row r="45" spans="1:4" x14ac:dyDescent="0.25">
      <c r="A45" s="1"/>
      <c r="B45" s="1"/>
      <c r="C45" s="39"/>
      <c r="D45" s="1"/>
    </row>
    <row r="46" spans="1:4" x14ac:dyDescent="0.25">
      <c r="A46" s="1"/>
      <c r="B46" s="1"/>
      <c r="C46" s="39"/>
      <c r="D46" s="1"/>
    </row>
    <row r="47" spans="1:4" x14ac:dyDescent="0.25">
      <c r="A47" s="1"/>
      <c r="B47" s="1"/>
      <c r="C47" s="39"/>
      <c r="D47" s="1"/>
    </row>
    <row r="48" spans="1:4" x14ac:dyDescent="0.25">
      <c r="A48" s="1"/>
      <c r="B48" s="1"/>
      <c r="C48" s="39"/>
      <c r="D48" s="1"/>
    </row>
  </sheetData>
  <sheetProtection algorithmName="SHA-512" hashValue="G9/00XI94shMfnSxboRsbFjQem6T9HQcPugS/eYEvuwquLdZoEpvKyUVimOzhd4bJdh4yYu5C8LYmTymkuKxDw==" saltValue="NJ1DT+WLVMbASC6Y1tgqM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32443418.279916611</v>
      </c>
      <c r="D8" s="8" t="s">
        <v>3</v>
      </c>
      <c r="E8" s="1"/>
    </row>
    <row r="9" spans="1:5" ht="17.25" customHeight="1" x14ac:dyDescent="0.25">
      <c r="A9" s="1"/>
      <c r="B9" s="23" t="s">
        <v>35</v>
      </c>
      <c r="C9" s="7">
        <f>'Fane 10.1. Varige tillæg'!C13</f>
        <v>362783.10720000003</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1167900.7693813513</v>
      </c>
      <c r="D15" s="8" t="s">
        <v>3</v>
      </c>
      <c r="E15" s="1"/>
    </row>
    <row r="16" spans="1:5" ht="17.25" customHeight="1" x14ac:dyDescent="0.25">
      <c r="A16" s="1"/>
      <c r="B16" s="23" t="s">
        <v>9</v>
      </c>
      <c r="C16" s="9">
        <f>-SUM(C8,C9:C15)*'Fane 5. Individuelt eff. krav'!G9</f>
        <v>-652691.02783290995</v>
      </c>
      <c r="D16" s="8" t="s">
        <v>3</v>
      </c>
      <c r="E16" s="1"/>
    </row>
    <row r="17" spans="1:5" ht="17.25" customHeight="1" x14ac:dyDescent="0.25">
      <c r="A17" s="1"/>
      <c r="B17" s="23" t="s">
        <v>23</v>
      </c>
      <c r="C17" s="9">
        <f>-'Fane 4.1. Gen. krav - drift'!G43</f>
        <v>-252776.03138715483</v>
      </c>
      <c r="D17" s="8" t="s">
        <v>3</v>
      </c>
      <c r="E17" s="1"/>
    </row>
    <row r="18" spans="1:5" ht="17.25" customHeight="1" x14ac:dyDescent="0.25">
      <c r="A18" s="1"/>
      <c r="B18" s="23" t="s">
        <v>24</v>
      </c>
      <c r="C18" s="9">
        <f>-'Fane 4.2. Gen. krav - anlæg'!G43</f>
        <v>0</v>
      </c>
      <c r="D18" s="8" t="s">
        <v>3</v>
      </c>
      <c r="E18" s="1"/>
    </row>
    <row r="19" spans="1:5" ht="17.25" customHeight="1" x14ac:dyDescent="0.25">
      <c r="A19" s="1"/>
      <c r="B19" s="46" t="s">
        <v>19</v>
      </c>
      <c r="C19" s="10">
        <f>SUM(C8,C9:C18)</f>
        <v>33068635.097277898</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omk.'!C15</f>
        <v>11012536.709032321</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6" t="s">
        <v>81</v>
      </c>
      <c r="C27" s="45">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0</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3">
        <f>SUM(C19,C21,C27,C29,C31)</f>
        <v>44081171.806310222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TmPsTtfdCA4oW1hP5MdogiAXuMpRKAWAZfMwjPfDjtiKNRnOAvHPEQuxkgSc6Oi5Qh0nOKZ92cDcTkLELxjBA==" saltValue="e/p0Qk0uc+PFz/bmBWIIU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33068635.097277898</v>
      </c>
      <c r="D8" s="8" t="s">
        <v>3</v>
      </c>
      <c r="E8" s="1"/>
    </row>
    <row r="9" spans="1:5" ht="15" customHeight="1" x14ac:dyDescent="0.25">
      <c r="A9" s="1"/>
      <c r="B9" s="60" t="s">
        <v>17</v>
      </c>
      <c r="C9" s="9">
        <f>SUM(C8:C8)*'Fane 13. Nøgletal'!C15</f>
        <v>1177243.4094630932</v>
      </c>
      <c r="D9" s="8" t="s">
        <v>3</v>
      </c>
      <c r="E9" s="1"/>
    </row>
    <row r="10" spans="1:5" ht="15" customHeight="1" x14ac:dyDescent="0.25">
      <c r="A10" s="1"/>
      <c r="B10" s="60" t="s">
        <v>9</v>
      </c>
      <c r="C10" s="9">
        <f>-SUM(C8:C9)*'Fane 5. Individuelt eff. krav'!G9</f>
        <v>-657912.23970081133</v>
      </c>
      <c r="D10" s="8" t="s">
        <v>3</v>
      </c>
      <c r="E10" s="1"/>
    </row>
    <row r="11" spans="1:5" ht="15" customHeight="1" x14ac:dyDescent="0.25">
      <c r="A11" s="1"/>
      <c r="B11" s="60" t="s">
        <v>23</v>
      </c>
      <c r="C11" s="9">
        <f>-'Fane 4.1. Gen. krav - drift'!G48</f>
        <v>-256539.36094244683</v>
      </c>
      <c r="D11" s="8" t="s">
        <v>3</v>
      </c>
      <c r="E11" s="1"/>
    </row>
    <row r="12" spans="1:5" ht="15" customHeight="1" x14ac:dyDescent="0.25">
      <c r="A12" s="1"/>
      <c r="B12" s="60" t="s">
        <v>24</v>
      </c>
      <c r="C12" s="9">
        <f>-'Fane 4.2. Gen. krav - anlæg'!G48</f>
        <v>0</v>
      </c>
      <c r="D12" s="8" t="s">
        <v>3</v>
      </c>
      <c r="E12" s="1"/>
    </row>
    <row r="13" spans="1:5" ht="15" customHeight="1" x14ac:dyDescent="0.25">
      <c r="A13" s="1"/>
      <c r="B13" s="31" t="s">
        <v>19</v>
      </c>
      <c r="C13" s="10">
        <f>SUM(C8:C12)</f>
        <v>33331426.90609774</v>
      </c>
      <c r="D13" s="11" t="s">
        <v>3</v>
      </c>
      <c r="E13" s="1"/>
    </row>
    <row r="14" spans="1:5" x14ac:dyDescent="0.25">
      <c r="A14" s="1"/>
      <c r="B14" s="63" t="s">
        <v>11</v>
      </c>
      <c r="C14" s="64"/>
      <c r="D14" s="19"/>
      <c r="E14" s="1"/>
    </row>
    <row r="15" spans="1:5" ht="15" customHeight="1" x14ac:dyDescent="0.25">
      <c r="A15" s="1"/>
      <c r="B15" s="65" t="s">
        <v>11</v>
      </c>
      <c r="C15" s="10">
        <f>'Fane 6. Ikke-påvirkelige omk.'!C15*(1+'Fane 13. Nøgletal'!C15)</f>
        <v>11404583.015873874</v>
      </c>
      <c r="D15" s="11" t="s">
        <v>3</v>
      </c>
      <c r="E15" s="1"/>
    </row>
    <row r="16" spans="1:5" x14ac:dyDescent="0.25">
      <c r="A16" s="1"/>
      <c r="B16" s="25" t="s">
        <v>128</v>
      </c>
      <c r="C16" s="64"/>
      <c r="D16" s="19"/>
      <c r="E16" s="1"/>
    </row>
    <row r="17" spans="1:5" ht="15" customHeight="1" x14ac:dyDescent="0.25">
      <c r="A17" s="1"/>
      <c r="B17" s="76" t="s">
        <v>129</v>
      </c>
      <c r="C17" s="10">
        <f>'Fane 7. Kontrol af ØR2021'!E31</f>
        <v>0</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44736009.921971612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n2XdMcP4EnxLprkixfvcNVKRvdzRi+npUHgHPjzggmtS8wDRj8O0pTeOwO0iA2fNrYPvTEvmD9CDktiG2GCwGQ==" saltValue="ZA+ffLaofwrKs7Myry1B/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33331426.90609774</v>
      </c>
      <c r="D8" s="8" t="s">
        <v>3</v>
      </c>
      <c r="E8" s="1"/>
    </row>
    <row r="9" spans="1:5" ht="15" customHeight="1" x14ac:dyDescent="0.25">
      <c r="A9" s="1"/>
      <c r="B9" s="60" t="s">
        <v>17</v>
      </c>
      <c r="C9" s="9">
        <f>SUM(C8:C8)*'Fane 13. Nøgletal'!C15</f>
        <v>1186598.7978570794</v>
      </c>
      <c r="D9" s="8" t="s">
        <v>3</v>
      </c>
      <c r="E9" s="1"/>
    </row>
    <row r="10" spans="1:5" ht="15" customHeight="1" x14ac:dyDescent="0.25">
      <c r="A10" s="1"/>
      <c r="B10" s="60" t="s">
        <v>9</v>
      </c>
      <c r="C10" s="9">
        <f>-SUM(C8:C9)*'Fane 5. Individuelt eff. krav'!G9</f>
        <v>-663140.57606870448</v>
      </c>
      <c r="D10" s="8" t="s">
        <v>3</v>
      </c>
      <c r="E10" s="1"/>
    </row>
    <row r="11" spans="1:5" ht="15" customHeight="1" x14ac:dyDescent="0.25">
      <c r="A11" s="1"/>
      <c r="B11" s="60" t="s">
        <v>23</v>
      </c>
      <c r="C11" s="9">
        <f>-'Fane 4.1. Gen. krav - drift'!G53</f>
        <v>-260358.71894815797</v>
      </c>
      <c r="D11" s="8" t="s">
        <v>3</v>
      </c>
      <c r="E11" s="1"/>
    </row>
    <row r="12" spans="1:5" ht="15" customHeight="1" x14ac:dyDescent="0.25">
      <c r="A12" s="1"/>
      <c r="B12" s="60" t="s">
        <v>24</v>
      </c>
      <c r="C12" s="27">
        <f>-'Fane 4.2. Gen. krav - anlæg'!G53</f>
        <v>0</v>
      </c>
      <c r="D12" s="8" t="s">
        <v>3</v>
      </c>
      <c r="E12" s="1"/>
    </row>
    <row r="13" spans="1:5" x14ac:dyDescent="0.25">
      <c r="A13" s="1"/>
      <c r="B13" s="31" t="s">
        <v>19</v>
      </c>
      <c r="C13" s="10">
        <f>SUM(C8:C12)</f>
        <v>33594526.408937953</v>
      </c>
      <c r="D13" s="11" t="s">
        <v>3</v>
      </c>
      <c r="E13" s="1"/>
    </row>
    <row r="14" spans="1:5" x14ac:dyDescent="0.25">
      <c r="A14" s="1"/>
      <c r="B14" s="63" t="s">
        <v>11</v>
      </c>
      <c r="C14" s="64"/>
      <c r="D14" s="19"/>
      <c r="E14" s="1"/>
    </row>
    <row r="15" spans="1:5" ht="15" customHeight="1" x14ac:dyDescent="0.25">
      <c r="A15" s="1"/>
      <c r="B15" s="65" t="s">
        <v>11</v>
      </c>
      <c r="C15" s="10">
        <f>'Fane 6. Ikke-påvirkelige omk.'!C15*(1+'Fane 13. Nøgletal'!C15)^2</f>
        <v>11810586.171238983</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45405112.580176935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JsHX3bKDjvHAtVu52hZaOAc9C6963uPPeU2qgLMDW4kbKfALVXokNlQD7PPb1i8JtRe/Rx2hfJAR3CSqsc1iPg==" saltValue="luOrPA4z2VBVNDmpV86q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33594526.408937953</v>
      </c>
      <c r="D8" s="8" t="s">
        <v>3</v>
      </c>
      <c r="E8" s="1"/>
    </row>
    <row r="9" spans="1:5" ht="15" customHeight="1" x14ac:dyDescent="0.25">
      <c r="A9" s="1"/>
      <c r="B9" s="60" t="s">
        <v>17</v>
      </c>
      <c r="C9" s="9">
        <f>SUM(C8:C8)*'Fane 13. Nøgletal'!C15</f>
        <v>1195965.1401581911</v>
      </c>
      <c r="D9" s="8" t="s">
        <v>3</v>
      </c>
      <c r="E9" s="1"/>
    </row>
    <row r="10" spans="1:5" ht="15" customHeight="1" x14ac:dyDescent="0.25">
      <c r="A10" s="1"/>
      <c r="B10" s="60" t="s">
        <v>9</v>
      </c>
      <c r="C10" s="9">
        <f>-SUM(C8:C9)*'Fane 5. Individuelt eff. krav'!G9</f>
        <v>-668375.03411841171</v>
      </c>
      <c r="D10" s="8" t="s">
        <v>3</v>
      </c>
      <c r="E10" s="1"/>
    </row>
    <row r="11" spans="1:5" ht="15" customHeight="1" x14ac:dyDescent="0.25">
      <c r="A11" s="1"/>
      <c r="B11" s="60" t="s">
        <v>23</v>
      </c>
      <c r="C11" s="9">
        <f>-'Fane 4.1. Gen. krav - drift'!G58</f>
        <v>-264234.93955585815</v>
      </c>
      <c r="D11" s="8" t="s">
        <v>3</v>
      </c>
      <c r="E11" s="1"/>
    </row>
    <row r="12" spans="1:5" ht="15" customHeight="1" x14ac:dyDescent="0.25">
      <c r="A12" s="1"/>
      <c r="B12" s="60" t="s">
        <v>24</v>
      </c>
      <c r="C12" s="9">
        <f>-'Fane 4.2. Gen. krav - anlæg'!G58</f>
        <v>0</v>
      </c>
      <c r="D12" s="8" t="s">
        <v>3</v>
      </c>
      <c r="E12" s="1"/>
    </row>
    <row r="13" spans="1:5" x14ac:dyDescent="0.25">
      <c r="A13" s="1"/>
      <c r="B13" s="31" t="s">
        <v>19</v>
      </c>
      <c r="C13" s="10">
        <f>SUM(C8:C12)</f>
        <v>33857881.57542187</v>
      </c>
      <c r="D13" s="11" t="s">
        <v>3</v>
      </c>
      <c r="E13" s="1"/>
    </row>
    <row r="14" spans="1:5" x14ac:dyDescent="0.25">
      <c r="A14" s="1"/>
      <c r="B14" s="63" t="s">
        <v>11</v>
      </c>
      <c r="C14" s="64"/>
      <c r="D14" s="19"/>
      <c r="E14" s="1"/>
    </row>
    <row r="15" spans="1:5" ht="15" customHeight="1" x14ac:dyDescent="0.25">
      <c r="A15" s="1"/>
      <c r="B15" s="65" t="s">
        <v>11</v>
      </c>
      <c r="C15" s="10">
        <f>'Fane 6. Ikke-påvirkelige omk.'!C15*(1+'Fane 13. Nøgletal'!C15)^3</f>
        <v>12231043.038935091</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46088924.614356965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NsAOEIruVCh4UxutdUQmR6CPtr/n2E/fov9WXQqUDX8ynaFygh4nrND8u2vp2iNt1V88X/2y2NEBL2+CrMsmEg==" saltValue="Hsh1Y841RLxHETXoGy4XL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1" t="s">
        <v>22</v>
      </c>
      <c r="C9" s="122"/>
      <c r="D9" s="123"/>
      <c r="E9" s="7">
        <v>33449371.794344138</v>
      </c>
      <c r="F9" s="8" t="s">
        <v>3</v>
      </c>
      <c r="G9" s="1"/>
    </row>
    <row r="10" spans="1:7" ht="15" customHeight="1" x14ac:dyDescent="0.25">
      <c r="A10" s="1"/>
      <c r="B10" s="103" t="s">
        <v>35</v>
      </c>
      <c r="C10" s="104"/>
      <c r="D10" s="105"/>
      <c r="E10" s="9">
        <v>0</v>
      </c>
      <c r="F10" s="8" t="s">
        <v>3</v>
      </c>
      <c r="G10" s="1"/>
    </row>
    <row r="11" spans="1:7" ht="15" customHeight="1" x14ac:dyDescent="0.25">
      <c r="A11" s="1"/>
      <c r="B11" s="103" t="s">
        <v>36</v>
      </c>
      <c r="C11" s="104"/>
      <c r="D11" s="105"/>
      <c r="E11" s="9">
        <v>0</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408082.33589099854</v>
      </c>
      <c r="F16" s="8" t="s">
        <v>3</v>
      </c>
      <c r="G16" s="29"/>
    </row>
    <row r="17" spans="1:7" x14ac:dyDescent="0.25">
      <c r="A17" s="1"/>
      <c r="B17" s="103" t="s">
        <v>9</v>
      </c>
      <c r="C17" s="104"/>
      <c r="D17" s="105"/>
      <c r="E17" s="9">
        <v>-488237.20488904347</v>
      </c>
      <c r="F17" s="8" t="s">
        <v>3</v>
      </c>
      <c r="G17" s="1"/>
    </row>
    <row r="18" spans="1:7" x14ac:dyDescent="0.25">
      <c r="A18" s="1"/>
      <c r="B18" s="103" t="s">
        <v>23</v>
      </c>
      <c r="C18" s="104"/>
      <c r="D18" s="105"/>
      <c r="E18" s="9">
        <v>-241664.17148574864</v>
      </c>
      <c r="F18" s="8" t="s">
        <v>3</v>
      </c>
      <c r="G18" s="1"/>
    </row>
    <row r="19" spans="1:7" x14ac:dyDescent="0.25">
      <c r="A19" s="1"/>
      <c r="B19" s="103" t="s">
        <v>24</v>
      </c>
      <c r="C19" s="104"/>
      <c r="D19" s="105"/>
      <c r="E19" s="9">
        <v>-684134.4739437328</v>
      </c>
      <c r="F19" s="8" t="s">
        <v>3</v>
      </c>
      <c r="G19" s="1"/>
    </row>
    <row r="20" spans="1:7" x14ac:dyDescent="0.25">
      <c r="A20" s="1"/>
      <c r="B20" s="106" t="s">
        <v>19</v>
      </c>
      <c r="C20" s="107"/>
      <c r="D20" s="108"/>
      <c r="E20" s="30">
        <f>SUM(E9:E19)</f>
        <v>32443418.279916611</v>
      </c>
      <c r="F20" s="32" t="s">
        <v>3</v>
      </c>
      <c r="G20" s="1"/>
    </row>
    <row r="21" spans="1:7" x14ac:dyDescent="0.25">
      <c r="A21" s="1"/>
      <c r="B21" s="63" t="s">
        <v>11</v>
      </c>
      <c r="C21" s="64"/>
      <c r="D21" s="64"/>
      <c r="E21" s="64"/>
      <c r="F21" s="19"/>
      <c r="G21" s="1"/>
    </row>
    <row r="22" spans="1:7" x14ac:dyDescent="0.25">
      <c r="A22" s="1"/>
      <c r="B22" s="114" t="s">
        <v>11</v>
      </c>
      <c r="C22" s="115"/>
      <c r="D22" s="116"/>
      <c r="E22" s="10">
        <v>9807802.4795171022</v>
      </c>
      <c r="F22" s="11" t="s">
        <v>3</v>
      </c>
      <c r="G22" s="1"/>
    </row>
    <row r="23" spans="1:7" ht="15" customHeight="1" x14ac:dyDescent="0.25">
      <c r="A23" s="1"/>
      <c r="B23" s="112" t="s">
        <v>80</v>
      </c>
      <c r="C23" s="113"/>
      <c r="D23" s="113"/>
      <c r="E23" s="64"/>
      <c r="F23" s="64"/>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3" t="s">
        <v>128</v>
      </c>
      <c r="C27" s="64"/>
      <c r="D27" s="64"/>
      <c r="E27" s="64"/>
      <c r="F27" s="19"/>
      <c r="G27" s="1"/>
    </row>
    <row r="28" spans="1:7" ht="15" customHeight="1" x14ac:dyDescent="0.25">
      <c r="A28" s="1"/>
      <c r="B28" s="109" t="s">
        <v>129</v>
      </c>
      <c r="C28" s="110"/>
      <c r="D28" s="111"/>
      <c r="E28" s="10">
        <v>244624.72342386097</v>
      </c>
      <c r="F28" s="11" t="s">
        <v>3</v>
      </c>
      <c r="G28" s="1"/>
    </row>
    <row r="29" spans="1:7" x14ac:dyDescent="0.25">
      <c r="A29" s="1"/>
      <c r="B29" s="63" t="s">
        <v>159</v>
      </c>
      <c r="C29" s="64"/>
      <c r="D29" s="64"/>
      <c r="E29" s="64"/>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42495845.482857578</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7v0Gr+W3wnFtPnUyfSvAjOaFPSFtVX03FphX+QEFl0LZzYMJ6hVhjUMAyk1wCXPjqFeFn/AQspoEDoI8oOkeaw==" saltValue="/daIEuby/kmDx5npypC4s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8" customWidth="1"/>
    <col min="8" max="8" width="3.7109375" style="2" customWidth="1"/>
    <col min="9" max="9" width="6.710937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3">
        <v>12399681.308398679</v>
      </c>
      <c r="H5" s="14" t="s">
        <v>3</v>
      </c>
      <c r="I5" s="1"/>
    </row>
    <row r="6" spans="1:9" x14ac:dyDescent="0.25">
      <c r="A6" s="1"/>
      <c r="B6" s="124" t="s">
        <v>39</v>
      </c>
      <c r="C6" s="125"/>
      <c r="D6" s="125"/>
      <c r="E6" s="125"/>
      <c r="F6" s="126"/>
      <c r="G6" s="53">
        <f>G5*'Fane 13. Nøgletal'!C31</f>
        <v>247993.62616797359</v>
      </c>
      <c r="H6" s="14" t="s">
        <v>3</v>
      </c>
      <c r="I6" s="1"/>
    </row>
    <row r="7" spans="1:9" x14ac:dyDescent="0.25">
      <c r="A7" s="1"/>
      <c r="B7" s="63"/>
      <c r="C7" s="64"/>
      <c r="D7" s="64"/>
      <c r="E7" s="64"/>
      <c r="F7" s="64"/>
      <c r="G7" s="54"/>
      <c r="H7" s="19"/>
      <c r="I7" s="1"/>
    </row>
    <row r="8" spans="1:9" x14ac:dyDescent="0.25">
      <c r="A8" s="1"/>
      <c r="B8" s="1"/>
      <c r="C8" s="1"/>
      <c r="D8" s="1"/>
      <c r="E8" s="1"/>
      <c r="F8" s="1"/>
      <c r="G8" s="55"/>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3">
        <f>(G5-G6)*(1+'Fane 13. Nøgletal'!C9)</f>
        <v>12306014.115795035</v>
      </c>
      <c r="H10" s="14" t="s">
        <v>3</v>
      </c>
      <c r="I10" s="1"/>
    </row>
    <row r="11" spans="1:9" x14ac:dyDescent="0.25">
      <c r="A11" s="1"/>
      <c r="B11" s="127" t="s">
        <v>41</v>
      </c>
      <c r="C11" s="128"/>
      <c r="D11" s="128"/>
      <c r="E11" s="128"/>
      <c r="F11" s="129"/>
      <c r="G11" s="53">
        <v>0</v>
      </c>
      <c r="H11" s="14" t="s">
        <v>3</v>
      </c>
      <c r="I11" s="1"/>
    </row>
    <row r="12" spans="1:9" x14ac:dyDescent="0.25">
      <c r="A12" s="1"/>
      <c r="B12" s="124" t="s">
        <v>42</v>
      </c>
      <c r="C12" s="125"/>
      <c r="D12" s="125"/>
      <c r="E12" s="125"/>
      <c r="F12" s="126"/>
      <c r="G12" s="53">
        <f>(G10+G11)*'Fane 13. Nøgletal'!C31</f>
        <v>246120.28231590069</v>
      </c>
      <c r="H12" s="14" t="s">
        <v>3</v>
      </c>
      <c r="I12" s="1"/>
    </row>
    <row r="13" spans="1:9" x14ac:dyDescent="0.25">
      <c r="A13" s="1"/>
      <c r="B13" s="63"/>
      <c r="C13" s="64"/>
      <c r="D13" s="64"/>
      <c r="E13" s="64"/>
      <c r="F13" s="64"/>
      <c r="G13" s="54"/>
      <c r="H13" s="19"/>
      <c r="I13" s="1"/>
    </row>
    <row r="14" spans="1:9" x14ac:dyDescent="0.25">
      <c r="A14" s="1"/>
      <c r="B14" s="1"/>
      <c r="C14" s="1"/>
      <c r="D14" s="1"/>
      <c r="E14" s="1"/>
      <c r="F14" s="1"/>
      <c r="G14" s="55"/>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3">
        <f>(G10+G11-G12)*(1+'Fane 13. Nøgletal'!C11)</f>
        <v>12263706.03926493</v>
      </c>
      <c r="H16" s="14" t="s">
        <v>3</v>
      </c>
      <c r="I16" s="1"/>
    </row>
    <row r="17" spans="1:9" x14ac:dyDescent="0.25">
      <c r="A17" s="1"/>
      <c r="B17" s="124" t="s">
        <v>108</v>
      </c>
      <c r="C17" s="125"/>
      <c r="D17" s="125"/>
      <c r="E17" s="125"/>
      <c r="F17" s="126"/>
      <c r="G17" s="53">
        <v>0</v>
      </c>
      <c r="H17" s="14" t="s">
        <v>3</v>
      </c>
      <c r="I17" s="1"/>
    </row>
    <row r="18" spans="1:9" x14ac:dyDescent="0.25">
      <c r="A18" s="1"/>
      <c r="B18" s="127" t="s">
        <v>44</v>
      </c>
      <c r="C18" s="128"/>
      <c r="D18" s="128"/>
      <c r="E18" s="128"/>
      <c r="F18" s="129"/>
      <c r="G18" s="53">
        <v>0</v>
      </c>
      <c r="H18" s="14" t="s">
        <v>3</v>
      </c>
      <c r="I18" s="1"/>
    </row>
    <row r="19" spans="1:9" x14ac:dyDescent="0.25">
      <c r="A19" s="1"/>
      <c r="B19" s="124" t="s">
        <v>45</v>
      </c>
      <c r="C19" s="125"/>
      <c r="D19" s="125"/>
      <c r="E19" s="125"/>
      <c r="F19" s="126"/>
      <c r="G19" s="53">
        <f>SUM(G16:G18)*'Fane 13. Nøgletal'!C31</f>
        <v>245274.12078529861</v>
      </c>
      <c r="H19" s="14" t="s">
        <v>3</v>
      </c>
      <c r="I19" s="1"/>
    </row>
    <row r="20" spans="1:9" x14ac:dyDescent="0.25">
      <c r="A20" s="1"/>
      <c r="B20" s="63"/>
      <c r="C20" s="64"/>
      <c r="D20" s="64"/>
      <c r="E20" s="64"/>
      <c r="F20" s="64"/>
      <c r="G20" s="54"/>
      <c r="H20" s="19"/>
      <c r="I20" s="1"/>
    </row>
    <row r="21" spans="1:9" x14ac:dyDescent="0.25">
      <c r="A21" s="1"/>
      <c r="B21" s="1"/>
      <c r="C21" s="1"/>
      <c r="D21" s="1"/>
      <c r="E21" s="1"/>
      <c r="F21" s="1"/>
      <c r="G21" s="55"/>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3">
        <f>(SUM(G16:G18)-G19)*(1+'Fane 13. Nøgletal'!C11)</f>
        <v>12221543.417901937</v>
      </c>
      <c r="H23" s="14" t="s">
        <v>3</v>
      </c>
      <c r="I23" s="1"/>
    </row>
    <row r="24" spans="1:9" x14ac:dyDescent="0.25">
      <c r="A24" s="1"/>
      <c r="B24" s="127" t="s">
        <v>47</v>
      </c>
      <c r="C24" s="128"/>
      <c r="D24" s="128"/>
      <c r="E24" s="128"/>
      <c r="F24" s="129"/>
      <c r="G24" s="53">
        <v>0</v>
      </c>
      <c r="H24" s="14" t="s">
        <v>3</v>
      </c>
      <c r="I24" s="1"/>
    </row>
    <row r="25" spans="1:9" x14ac:dyDescent="0.25">
      <c r="A25" s="1"/>
      <c r="B25" s="124" t="s">
        <v>48</v>
      </c>
      <c r="C25" s="125"/>
      <c r="D25" s="125"/>
      <c r="E25" s="125"/>
      <c r="F25" s="126"/>
      <c r="G25" s="53">
        <f>(G23+G24)*'Fane 13. Nøgletal'!C31</f>
        <v>244430.86835803874</v>
      </c>
      <c r="H25" s="14" t="s">
        <v>3</v>
      </c>
      <c r="I25" s="1"/>
    </row>
    <row r="26" spans="1:9" x14ac:dyDescent="0.25">
      <c r="A26" s="1"/>
      <c r="B26" s="63"/>
      <c r="C26" s="64"/>
      <c r="D26" s="64"/>
      <c r="E26" s="64"/>
      <c r="F26" s="64"/>
      <c r="G26" s="54"/>
      <c r="H26" s="19"/>
      <c r="I26" s="1"/>
    </row>
    <row r="27" spans="1:9" x14ac:dyDescent="0.25">
      <c r="A27" s="1"/>
      <c r="B27" s="1"/>
      <c r="C27" s="1"/>
      <c r="D27" s="1"/>
      <c r="E27" s="1"/>
      <c r="F27" s="1"/>
      <c r="G27" s="55"/>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3">
        <f>(G23+G24-G25)*(1+'Fane 13. Nøgletal'!C13)</f>
        <v>12123233.322648333</v>
      </c>
      <c r="H29" s="14" t="s">
        <v>3</v>
      </c>
      <c r="I29" s="1"/>
    </row>
    <row r="30" spans="1:9" x14ac:dyDescent="0.25">
      <c r="A30" s="1"/>
      <c r="B30" s="124" t="s">
        <v>121</v>
      </c>
      <c r="C30" s="125"/>
      <c r="D30" s="125"/>
      <c r="E30" s="125"/>
      <c r="F30" s="126"/>
      <c r="G30" s="53">
        <v>57960.776976479996</v>
      </c>
      <c r="H30" s="14" t="s">
        <v>3</v>
      </c>
      <c r="I30" s="1"/>
    </row>
    <row r="31" spans="1:9" x14ac:dyDescent="0.25">
      <c r="A31" s="1"/>
      <c r="B31" s="124" t="s">
        <v>126</v>
      </c>
      <c r="C31" s="125"/>
      <c r="D31" s="125"/>
      <c r="E31" s="125"/>
      <c r="F31" s="126"/>
      <c r="G31" s="53">
        <f>(G29+G30)*'Fane 13. Nøgletal'!C31</f>
        <v>243623.88199249626</v>
      </c>
      <c r="H31" s="14" t="s">
        <v>3</v>
      </c>
      <c r="I31" s="1"/>
    </row>
    <row r="32" spans="1:9" x14ac:dyDescent="0.25">
      <c r="A32" s="1"/>
      <c r="B32" s="63"/>
      <c r="C32" s="64"/>
      <c r="D32" s="64"/>
      <c r="E32" s="64"/>
      <c r="F32" s="64"/>
      <c r="G32" s="54"/>
      <c r="H32" s="19"/>
      <c r="I32" s="1"/>
    </row>
    <row r="33" spans="1:9" x14ac:dyDescent="0.25">
      <c r="A33" s="1"/>
      <c r="B33" s="1"/>
      <c r="C33" s="1"/>
      <c r="D33" s="1"/>
      <c r="E33" s="1"/>
      <c r="F33" s="1"/>
      <c r="G33" s="55"/>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3">
        <f>(G29+G30-G31)*(1+'Fane 13. Nøgletal'!C13)</f>
        <v>12083208.574287429</v>
      </c>
      <c r="H35" s="14" t="s">
        <v>3</v>
      </c>
      <c r="I35" s="1"/>
    </row>
    <row r="36" spans="1:9" x14ac:dyDescent="0.25">
      <c r="A36" s="1"/>
      <c r="B36" s="124" t="s">
        <v>152</v>
      </c>
      <c r="C36" s="125"/>
      <c r="D36" s="125"/>
      <c r="E36" s="125"/>
      <c r="F36" s="126"/>
      <c r="G36" s="53">
        <f>('Fane 3. Omkostninger i ØR2022'!E10+'Fane 3. Omkostninger i ØR2022'!E12+'Fane 3. Omkostninger i ØR2022'!E14)*(1+'Fane 13. Nøgletal'!C14)</f>
        <v>0</v>
      </c>
      <c r="H36" s="14" t="s">
        <v>3</v>
      </c>
      <c r="I36" s="1"/>
    </row>
    <row r="37" spans="1:9" x14ac:dyDescent="0.25">
      <c r="A37" s="1"/>
      <c r="B37" s="124" t="s">
        <v>134</v>
      </c>
      <c r="C37" s="125"/>
      <c r="D37" s="125"/>
      <c r="E37" s="125"/>
      <c r="F37" s="126"/>
      <c r="G37" s="53">
        <f>(G35+G36)*'Fane 13. Nøgletal'!C31</f>
        <v>241664.17148574861</v>
      </c>
      <c r="H37" s="14" t="s">
        <v>3</v>
      </c>
      <c r="I37" s="1"/>
    </row>
    <row r="38" spans="1:9" x14ac:dyDescent="0.25">
      <c r="A38" s="1"/>
      <c r="B38" s="63"/>
      <c r="C38" s="64"/>
      <c r="D38" s="64"/>
      <c r="E38" s="64"/>
      <c r="F38" s="64"/>
      <c r="G38" s="54"/>
      <c r="H38" s="19"/>
      <c r="I38" s="1"/>
    </row>
    <row r="39" spans="1:9" x14ac:dyDescent="0.25">
      <c r="A39" s="1"/>
      <c r="B39" s="1"/>
      <c r="C39" s="1"/>
      <c r="D39" s="1"/>
      <c r="E39" s="1"/>
      <c r="F39" s="1"/>
      <c r="G39" s="55"/>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3">
        <f>(G35+G36-G37)*(1+'Fane 13. Nøgletal'!C15)</f>
        <v>12263103.383541422</v>
      </c>
      <c r="H41" s="14" t="s">
        <v>3</v>
      </c>
      <c r="I41" s="1"/>
    </row>
    <row r="42" spans="1:9" x14ac:dyDescent="0.25">
      <c r="A42" s="1"/>
      <c r="B42" s="124" t="s">
        <v>197</v>
      </c>
      <c r="C42" s="125"/>
      <c r="D42" s="125"/>
      <c r="E42" s="125"/>
      <c r="F42" s="126"/>
      <c r="G42" s="53">
        <f>('Fane 2.1. Økonomisk ramme 2023'!C9+'Fane 2.1. Økonomisk ramme 2023'!C11+'Fane 2.1. Økonomisk ramme 2023'!C13)*(1+'Fane 13. Nøgletal'!C15)</f>
        <v>375698.18581632007</v>
      </c>
      <c r="H42" s="14" t="s">
        <v>3</v>
      </c>
      <c r="I42" s="1"/>
    </row>
    <row r="43" spans="1:9" x14ac:dyDescent="0.25">
      <c r="A43" s="1"/>
      <c r="B43" s="124" t="s">
        <v>208</v>
      </c>
      <c r="C43" s="125"/>
      <c r="D43" s="125"/>
      <c r="E43" s="125"/>
      <c r="F43" s="126"/>
      <c r="G43" s="53">
        <f>(G41+G42)*'Fane 13. Nøgletal'!C31</f>
        <v>252776.03138715483</v>
      </c>
      <c r="H43" s="14" t="s">
        <v>3</v>
      </c>
      <c r="I43" s="1"/>
    </row>
    <row r="44" spans="1:9" x14ac:dyDescent="0.25">
      <c r="A44" s="1"/>
      <c r="B44" s="63"/>
      <c r="C44" s="64"/>
      <c r="D44" s="64"/>
      <c r="E44" s="64"/>
      <c r="F44" s="64"/>
      <c r="G44" s="54"/>
      <c r="H44" s="19"/>
      <c r="I44" s="1"/>
    </row>
    <row r="45" spans="1:9" x14ac:dyDescent="0.25">
      <c r="A45" s="1"/>
      <c r="B45" s="1"/>
      <c r="C45" s="1"/>
      <c r="D45" s="1"/>
      <c r="E45" s="1"/>
      <c r="F45" s="1"/>
      <c r="G45" s="55"/>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3">
        <f>(G41+G42-G43)*(1+'Fane 13. Nøgletal'!C15)</f>
        <v>12826968.047122341</v>
      </c>
      <c r="H47" s="14" t="s">
        <v>3</v>
      </c>
      <c r="I47" s="1"/>
    </row>
    <row r="48" spans="1:9" x14ac:dyDescent="0.25">
      <c r="A48" s="1"/>
      <c r="B48" s="124" t="s">
        <v>209</v>
      </c>
      <c r="C48" s="125"/>
      <c r="D48" s="125"/>
      <c r="E48" s="125"/>
      <c r="F48" s="126"/>
      <c r="G48" s="53">
        <f>(G47)*'Fane 13. Nøgletal'!C31</f>
        <v>256539.36094244683</v>
      </c>
      <c r="H48" s="14" t="s">
        <v>3</v>
      </c>
      <c r="I48" s="1"/>
    </row>
    <row r="49" spans="1:9" x14ac:dyDescent="0.25">
      <c r="A49" s="1"/>
      <c r="B49" s="63"/>
      <c r="C49" s="64"/>
      <c r="D49" s="64"/>
      <c r="E49" s="64"/>
      <c r="F49" s="64"/>
      <c r="G49" s="54"/>
      <c r="H49" s="19"/>
      <c r="I49" s="1"/>
    </row>
    <row r="50" spans="1:9" x14ac:dyDescent="0.25">
      <c r="A50" s="1"/>
      <c r="B50" s="1"/>
      <c r="C50" s="1"/>
      <c r="D50" s="1"/>
      <c r="E50" s="1"/>
      <c r="F50" s="1"/>
      <c r="G50" s="55"/>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3">
        <f>(G47-G48)*(1+'Fane 13. Nøgletal'!C15)</f>
        <v>13017935.947407898</v>
      </c>
      <c r="H52" s="14" t="s">
        <v>3</v>
      </c>
      <c r="I52" s="1"/>
    </row>
    <row r="53" spans="1:9" x14ac:dyDescent="0.25">
      <c r="A53" s="1"/>
      <c r="B53" s="124" t="s">
        <v>147</v>
      </c>
      <c r="C53" s="125"/>
      <c r="D53" s="125"/>
      <c r="E53" s="125"/>
      <c r="F53" s="126"/>
      <c r="G53" s="53">
        <f>(G52)*'Fane 13. Nøgletal'!C31</f>
        <v>260358.71894815797</v>
      </c>
      <c r="H53" s="14" t="s">
        <v>3</v>
      </c>
      <c r="I53" s="1"/>
    </row>
    <row r="54" spans="1:9" x14ac:dyDescent="0.25">
      <c r="A54" s="1"/>
      <c r="B54" s="63"/>
      <c r="C54" s="64"/>
      <c r="D54" s="64"/>
      <c r="E54" s="64"/>
      <c r="F54" s="64"/>
      <c r="G54" s="54"/>
      <c r="H54" s="19"/>
      <c r="I54" s="1"/>
    </row>
    <row r="55" spans="1:9" x14ac:dyDescent="0.25">
      <c r="A55" s="1"/>
      <c r="B55" s="1"/>
      <c r="C55" s="1"/>
      <c r="D55" s="1"/>
      <c r="E55" s="1"/>
      <c r="F55" s="1"/>
      <c r="G55" s="55"/>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3">
        <f>(G52-G53)*(1+'Fane 13. Nøgletal'!C15)</f>
        <v>13211746.977792908</v>
      </c>
      <c r="H57" s="14" t="s">
        <v>3</v>
      </c>
      <c r="I57" s="1"/>
    </row>
    <row r="58" spans="1:9" x14ac:dyDescent="0.25">
      <c r="A58" s="1"/>
      <c r="B58" s="124" t="s">
        <v>176</v>
      </c>
      <c r="C58" s="125"/>
      <c r="D58" s="125"/>
      <c r="E58" s="125"/>
      <c r="F58" s="126"/>
      <c r="G58" s="53">
        <f>(G57)*'Fane 13. Nøgletal'!C31</f>
        <v>264234.93955585815</v>
      </c>
      <c r="H58" s="14" t="s">
        <v>3</v>
      </c>
      <c r="I58" s="1"/>
    </row>
    <row r="59" spans="1:9" x14ac:dyDescent="0.25">
      <c r="A59" s="1"/>
      <c r="B59" s="63"/>
      <c r="C59" s="64"/>
      <c r="D59" s="64"/>
      <c r="E59" s="64"/>
      <c r="F59" s="64"/>
      <c r="G59" s="36"/>
      <c r="H59" s="19"/>
      <c r="I59" s="1"/>
    </row>
    <row r="60" spans="1:9" x14ac:dyDescent="0.25">
      <c r="A60" s="1"/>
      <c r="B60" s="1"/>
      <c r="C60" s="1"/>
      <c r="D60" s="1"/>
      <c r="E60" s="1"/>
      <c r="F60" s="1"/>
      <c r="G60" s="37"/>
      <c r="H60" s="1"/>
      <c r="I60" s="1"/>
    </row>
    <row r="61" spans="1:9" x14ac:dyDescent="0.25">
      <c r="A61" s="1"/>
      <c r="B61" s="1"/>
      <c r="C61" s="1"/>
      <c r="D61" s="1"/>
      <c r="E61" s="1"/>
      <c r="F61" s="1"/>
      <c r="G61" s="37"/>
      <c r="H61" s="1"/>
      <c r="I61" s="1"/>
    </row>
    <row r="62" spans="1:9" x14ac:dyDescent="0.25">
      <c r="A62" s="1"/>
      <c r="B62" s="1"/>
      <c r="C62" s="1"/>
      <c r="D62" s="1"/>
      <c r="E62" s="1"/>
      <c r="F62" s="1"/>
      <c r="G62" s="37"/>
      <c r="H62" s="1"/>
      <c r="I62" s="1"/>
    </row>
    <row r="63" spans="1:9" x14ac:dyDescent="0.25">
      <c r="A63" s="1"/>
      <c r="B63" s="1"/>
      <c r="C63" s="1"/>
      <c r="D63" s="1"/>
      <c r="E63" s="1"/>
      <c r="F63" s="1"/>
      <c r="G63" s="37"/>
      <c r="H63" s="1"/>
      <c r="I63" s="1"/>
    </row>
    <row r="64" spans="1:9" x14ac:dyDescent="0.25">
      <c r="A64" s="1"/>
      <c r="B64" s="1"/>
      <c r="C64" s="1"/>
      <c r="D64" s="1"/>
      <c r="E64" s="1"/>
      <c r="F64" s="1"/>
      <c r="G64" s="37"/>
      <c r="H64" s="1"/>
      <c r="I64" s="1"/>
    </row>
    <row r="65" spans="1:9" x14ac:dyDescent="0.25">
      <c r="A65" s="1"/>
      <c r="B65" s="1"/>
      <c r="C65" s="1"/>
      <c r="D65" s="1"/>
      <c r="E65" s="1"/>
      <c r="F65" s="1"/>
      <c r="G65" s="37"/>
      <c r="H65" s="1"/>
      <c r="I65" s="1"/>
    </row>
  </sheetData>
  <sheetProtection algorithmName="SHA-512" hashValue="HULN0RwZDa+OD1RZeHA4uCrUroVRgzvcOzuhRpgCPoMHPTPF0SvL/kbqPV1Xgonyw84brT1udHqkUuI8o4zauw==" saltValue="ueJ06qeBEhoCdVaOsBZR2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5" style="2" customWidth="1"/>
    <col min="2" max="5" width="9" style="2"/>
    <col min="6" max="6" width="25.42578125" style="2" customWidth="1"/>
    <col min="7" max="7" width="10.28515625" style="2" customWidth="1"/>
    <col min="8" max="8" width="2.85546875" style="2" bestFit="1" customWidth="1"/>
    <col min="9" max="9" width="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3">
        <v>22566050.143720936</v>
      </c>
      <c r="H5" s="14" t="s">
        <v>3</v>
      </c>
      <c r="I5" s="1"/>
    </row>
    <row r="6" spans="1:9" x14ac:dyDescent="0.25">
      <c r="A6" s="1"/>
      <c r="B6" s="124" t="s">
        <v>54</v>
      </c>
      <c r="C6" s="125"/>
      <c r="D6" s="125"/>
      <c r="E6" s="125"/>
      <c r="F6" s="126"/>
      <c r="G6" s="53">
        <f>G5*'Fane 13. Nøgletal'!C20</f>
        <v>205351.05630786053</v>
      </c>
      <c r="H6" s="14" t="s">
        <v>3</v>
      </c>
      <c r="I6" s="1"/>
    </row>
    <row r="7" spans="1:9" x14ac:dyDescent="0.25">
      <c r="A7" s="1"/>
      <c r="B7" s="63"/>
      <c r="C7" s="64"/>
      <c r="D7" s="64"/>
      <c r="E7" s="64"/>
      <c r="F7" s="64"/>
      <c r="G7" s="56"/>
      <c r="H7" s="19"/>
      <c r="I7" s="1"/>
    </row>
    <row r="8" spans="1:9" x14ac:dyDescent="0.25">
      <c r="A8" s="1"/>
      <c r="B8" s="1"/>
      <c r="C8" s="1"/>
      <c r="D8" s="1"/>
      <c r="E8" s="1"/>
      <c r="F8" s="1"/>
      <c r="G8" s="57"/>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3">
        <f>(G5-G6)*(1+'Fane 13. Nøgletal'!C9)</f>
        <v>22644679.965823222</v>
      </c>
      <c r="H10" s="14" t="s">
        <v>3</v>
      </c>
      <c r="I10" s="1"/>
    </row>
    <row r="11" spans="1:9" x14ac:dyDescent="0.25">
      <c r="A11" s="1"/>
      <c r="B11" s="127" t="s">
        <v>59</v>
      </c>
      <c r="C11" s="128"/>
      <c r="D11" s="128"/>
      <c r="E11" s="128"/>
      <c r="F11" s="129"/>
      <c r="G11" s="58">
        <v>0</v>
      </c>
      <c r="H11" s="14" t="s">
        <v>3</v>
      </c>
      <c r="I11" s="1"/>
    </row>
    <row r="12" spans="1:9" x14ac:dyDescent="0.25">
      <c r="A12" s="1"/>
      <c r="B12" s="124" t="s">
        <v>60</v>
      </c>
      <c r="C12" s="125"/>
      <c r="D12" s="125"/>
      <c r="E12" s="125"/>
      <c r="F12" s="126"/>
      <c r="G12" s="53">
        <f>G10*'Fane 13. Nøgletal'!C20+G11*'Fane 13. Nøgletal'!C21</f>
        <v>206066.58768899133</v>
      </c>
      <c r="H12" s="14" t="s">
        <v>3</v>
      </c>
      <c r="I12" s="1"/>
    </row>
    <row r="13" spans="1:9" x14ac:dyDescent="0.25">
      <c r="A13" s="1"/>
      <c r="B13" s="63"/>
      <c r="C13" s="64"/>
      <c r="D13" s="64"/>
      <c r="E13" s="64"/>
      <c r="F13" s="64"/>
      <c r="G13" s="56"/>
      <c r="H13" s="19"/>
      <c r="I13" s="1"/>
    </row>
    <row r="14" spans="1:9" x14ac:dyDescent="0.25">
      <c r="A14" s="1"/>
      <c r="B14" s="1"/>
      <c r="C14" s="1"/>
      <c r="D14" s="1"/>
      <c r="E14" s="1"/>
      <c r="F14" s="1"/>
      <c r="G14" s="57"/>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3">
        <f>(G10+G11-G12)*(1+'Fane 13. Nøgletal'!C11)</f>
        <v>22817825.9442247</v>
      </c>
      <c r="H16" s="14" t="s">
        <v>3</v>
      </c>
      <c r="I16" s="1"/>
    </row>
    <row r="17" spans="1:9" x14ac:dyDescent="0.25">
      <c r="A17" s="1"/>
      <c r="B17" s="124" t="s">
        <v>109</v>
      </c>
      <c r="C17" s="125"/>
      <c r="D17" s="125"/>
      <c r="E17" s="125"/>
      <c r="F17" s="126"/>
      <c r="G17" s="53">
        <v>405241.8224780343</v>
      </c>
      <c r="H17" s="14" t="s">
        <v>3</v>
      </c>
      <c r="I17" s="1"/>
    </row>
    <row r="18" spans="1:9" x14ac:dyDescent="0.25">
      <c r="A18" s="1"/>
      <c r="B18" s="127" t="s">
        <v>63</v>
      </c>
      <c r="C18" s="128"/>
      <c r="D18" s="128"/>
      <c r="E18" s="128"/>
      <c r="F18" s="129"/>
      <c r="G18" s="53">
        <v>339282.45455538994</v>
      </c>
      <c r="H18" s="14" t="s">
        <v>3</v>
      </c>
      <c r="I18" s="1"/>
    </row>
    <row r="19" spans="1:9" x14ac:dyDescent="0.25">
      <c r="A19" s="1"/>
      <c r="B19" s="124" t="s">
        <v>64</v>
      </c>
      <c r="C19" s="125"/>
      <c r="D19" s="125"/>
      <c r="E19" s="125"/>
      <c r="F19" s="126"/>
      <c r="G19" s="53">
        <f>(G16+G17+G18)*'Fane 13. Nøgletal'!C22</f>
        <v>204992.44692494566</v>
      </c>
      <c r="H19" s="14" t="s">
        <v>3</v>
      </c>
      <c r="I19" s="1"/>
    </row>
    <row r="20" spans="1:9" x14ac:dyDescent="0.25">
      <c r="A20" s="1"/>
      <c r="B20" s="63"/>
      <c r="C20" s="64"/>
      <c r="D20" s="64"/>
      <c r="E20" s="64"/>
      <c r="F20" s="64"/>
      <c r="G20" s="56"/>
      <c r="H20" s="19"/>
      <c r="I20" s="1"/>
    </row>
    <row r="21" spans="1:9" x14ac:dyDescent="0.25">
      <c r="A21" s="1"/>
      <c r="B21" s="1"/>
      <c r="C21" s="1"/>
      <c r="D21" s="1"/>
      <c r="E21" s="1"/>
      <c r="F21" s="1"/>
      <c r="G21" s="57"/>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3">
        <f>(SUM(G16:G18)-G19)*(1+'Fane 13. Nøgletal'!C11)</f>
        <v>23752097.120719403</v>
      </c>
      <c r="H23" s="14" t="s">
        <v>3</v>
      </c>
      <c r="I23" s="1"/>
    </row>
    <row r="24" spans="1:9" x14ac:dyDescent="0.25">
      <c r="A24" s="1"/>
      <c r="B24" s="127" t="s">
        <v>67</v>
      </c>
      <c r="C24" s="128"/>
      <c r="D24" s="128"/>
      <c r="E24" s="128"/>
      <c r="F24" s="129"/>
      <c r="G24" s="53">
        <v>138969.59143858563</v>
      </c>
      <c r="H24" s="14" t="s">
        <v>3</v>
      </c>
      <c r="I24" s="1"/>
    </row>
    <row r="25" spans="1:9" x14ac:dyDescent="0.25">
      <c r="A25" s="1"/>
      <c r="B25" s="124" t="s">
        <v>68</v>
      </c>
      <c r="C25" s="125"/>
      <c r="D25" s="125"/>
      <c r="E25" s="125"/>
      <c r="F25" s="126"/>
      <c r="G25" s="53">
        <f>G23*'Fane 13. Nøgletal'!C22+G24*'Fane 13. Nøgletal'!C23</f>
        <v>210589.9813471146</v>
      </c>
      <c r="H25" s="14" t="s">
        <v>3</v>
      </c>
      <c r="I25" s="1"/>
    </row>
    <row r="26" spans="1:9" x14ac:dyDescent="0.25">
      <c r="A26" s="1"/>
      <c r="B26" s="63"/>
      <c r="C26" s="64"/>
      <c r="D26" s="64"/>
      <c r="E26" s="64"/>
      <c r="F26" s="64"/>
      <c r="G26" s="56"/>
      <c r="H26" s="19"/>
      <c r="I26" s="1"/>
    </row>
    <row r="27" spans="1:9" x14ac:dyDescent="0.25">
      <c r="A27" s="1"/>
      <c r="B27" s="1"/>
      <c r="C27" s="1"/>
      <c r="D27" s="1"/>
      <c r="E27" s="1"/>
      <c r="F27" s="1"/>
      <c r="G27" s="57"/>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3">
        <f>(G23+G24-G25)*(1+'Fane 13. Nøgletal'!C13)</f>
        <v>23969378.546926767</v>
      </c>
      <c r="H29" s="14" t="s">
        <v>3</v>
      </c>
      <c r="I29" s="1"/>
    </row>
    <row r="30" spans="1:9" x14ac:dyDescent="0.25">
      <c r="A30" s="1"/>
      <c r="B30" s="124" t="s">
        <v>123</v>
      </c>
      <c r="C30" s="125"/>
      <c r="D30" s="125"/>
      <c r="E30" s="125"/>
      <c r="F30" s="126"/>
      <c r="G30" s="53">
        <v>1303391.0768432398</v>
      </c>
      <c r="H30" s="14" t="s">
        <v>3</v>
      </c>
      <c r="I30" s="1"/>
    </row>
    <row r="31" spans="1:9" x14ac:dyDescent="0.25">
      <c r="A31" s="1"/>
      <c r="B31" s="124" t="s">
        <v>131</v>
      </c>
      <c r="C31" s="125"/>
      <c r="D31" s="125"/>
      <c r="E31" s="125"/>
      <c r="F31" s="126"/>
      <c r="G31" s="53">
        <f>(G29+G30)*'Fane 13. Nøgletal'!C24</f>
        <v>695001.16465367517</v>
      </c>
      <c r="H31" s="14" t="s">
        <v>3</v>
      </c>
      <c r="I31" s="1"/>
    </row>
    <row r="32" spans="1:9" x14ac:dyDescent="0.25">
      <c r="A32" s="1"/>
      <c r="B32" s="63"/>
      <c r="C32" s="64"/>
      <c r="D32" s="64"/>
      <c r="E32" s="64"/>
      <c r="F32" s="64"/>
      <c r="G32" s="56"/>
      <c r="H32" s="19"/>
      <c r="I32" s="1"/>
    </row>
    <row r="33" spans="1:9" x14ac:dyDescent="0.25">
      <c r="A33" s="1"/>
      <c r="B33" s="1"/>
      <c r="C33" s="1"/>
      <c r="D33" s="1"/>
      <c r="E33" s="1"/>
      <c r="F33" s="1"/>
      <c r="G33" s="57"/>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3">
        <f>(G29+G30-G31)*(1+'Fane 13. Nøgletal'!C13)</f>
        <v>24877617.234317552</v>
      </c>
      <c r="H35" s="14" t="s">
        <v>3</v>
      </c>
      <c r="I35" s="1"/>
    </row>
    <row r="36" spans="1:9" x14ac:dyDescent="0.25">
      <c r="A36" s="1"/>
      <c r="B36" s="124" t="s">
        <v>141</v>
      </c>
      <c r="C36" s="125"/>
      <c r="D36" s="125"/>
      <c r="E36" s="125"/>
      <c r="F36" s="126"/>
      <c r="G36" s="53">
        <f>SUM('Fane 3. Omkostninger i ØR2022'!E11)*(1+'Fane 13. Nøgletal'!C14)</f>
        <v>0</v>
      </c>
      <c r="H36" s="14" t="s">
        <v>3</v>
      </c>
      <c r="I36" s="1"/>
    </row>
    <row r="37" spans="1:9" x14ac:dyDescent="0.25">
      <c r="A37" s="1"/>
      <c r="B37" s="124" t="s">
        <v>136</v>
      </c>
      <c r="C37" s="125"/>
      <c r="D37" s="125"/>
      <c r="E37" s="125"/>
      <c r="F37" s="126"/>
      <c r="G37" s="53">
        <f>G35*'Fane 13. Nøgletal'!C24+G36*'Fane 13. Nøgletal'!C25</f>
        <v>684134.47394373268</v>
      </c>
      <c r="H37" s="14" t="s">
        <v>3</v>
      </c>
      <c r="I37" s="1"/>
    </row>
    <row r="38" spans="1:9" x14ac:dyDescent="0.25">
      <c r="A38" s="1"/>
      <c r="B38" s="63"/>
      <c r="C38" s="64"/>
      <c r="D38" s="64"/>
      <c r="E38" s="64"/>
      <c r="F38" s="64"/>
      <c r="G38" s="56"/>
      <c r="H38" s="19"/>
      <c r="I38" s="1"/>
    </row>
    <row r="39" spans="1:9" x14ac:dyDescent="0.25">
      <c r="A39" s="1"/>
      <c r="B39" s="1"/>
      <c r="C39" s="1"/>
      <c r="D39" s="1"/>
      <c r="E39" s="1"/>
      <c r="F39" s="1"/>
      <c r="G39" s="57"/>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3">
        <f>(G35+G36-G37)*(1+'Fane 13. Nøgletal'!C15)</f>
        <v>25054770.74664313</v>
      </c>
      <c r="H41" s="14" t="s">
        <v>3</v>
      </c>
      <c r="I41" s="1"/>
    </row>
    <row r="42" spans="1:9" x14ac:dyDescent="0.25">
      <c r="A42" s="1"/>
      <c r="B42" s="124" t="s">
        <v>211</v>
      </c>
      <c r="C42" s="125"/>
      <c r="D42" s="125"/>
      <c r="E42" s="125"/>
      <c r="F42" s="126"/>
      <c r="G42" s="58">
        <f>SUM('Fane 2.1. Økonomisk ramme 2023'!C10+'Fane 2.1. Økonomisk ramme 2023'!C12+'Fane 2.1. Økonomisk ramme 2023'!C14)*(1+'Fane 13. Nøgletal'!C15)</f>
        <v>0</v>
      </c>
      <c r="H42" s="14" t="s">
        <v>3</v>
      </c>
      <c r="I42" s="1"/>
    </row>
    <row r="43" spans="1:9" x14ac:dyDescent="0.25">
      <c r="A43" s="1"/>
      <c r="B43" s="124" t="s">
        <v>70</v>
      </c>
      <c r="C43" s="125"/>
      <c r="D43" s="125"/>
      <c r="E43" s="125"/>
      <c r="F43" s="126"/>
      <c r="G43" s="53">
        <f>(G41+G42)*'Fane 13. Nøgletal'!C26</f>
        <v>0</v>
      </c>
      <c r="H43" s="14" t="s">
        <v>3</v>
      </c>
      <c r="I43" s="1"/>
    </row>
    <row r="44" spans="1:9" x14ac:dyDescent="0.25">
      <c r="A44" s="1"/>
      <c r="B44" s="63"/>
      <c r="C44" s="64"/>
      <c r="D44" s="64"/>
      <c r="E44" s="64"/>
      <c r="F44" s="64"/>
      <c r="G44" s="56"/>
      <c r="H44" s="19"/>
      <c r="I44" s="1"/>
    </row>
    <row r="45" spans="1:9" ht="12" customHeight="1" x14ac:dyDescent="0.25">
      <c r="A45" s="1"/>
      <c r="B45" s="1"/>
      <c r="C45" s="1"/>
      <c r="D45" s="1"/>
      <c r="E45" s="1"/>
      <c r="F45" s="1"/>
      <c r="G45" s="57"/>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3">
        <f>(G41+G42-G43)*(1+'Fane 13. Nøgletal'!C15)</f>
        <v>25946720.585223626</v>
      </c>
      <c r="H47" s="14" t="s">
        <v>3</v>
      </c>
      <c r="I47" s="1"/>
    </row>
    <row r="48" spans="1:9" x14ac:dyDescent="0.25">
      <c r="A48" s="1"/>
      <c r="B48" s="124" t="s">
        <v>125</v>
      </c>
      <c r="C48" s="125"/>
      <c r="D48" s="125"/>
      <c r="E48" s="125"/>
      <c r="F48" s="126"/>
      <c r="G48" s="53">
        <f>(G47)*'Fane 13. Nøgletal'!C26</f>
        <v>0</v>
      </c>
      <c r="H48" s="14" t="s">
        <v>3</v>
      </c>
      <c r="I48" s="1"/>
    </row>
    <row r="49" spans="1:9" x14ac:dyDescent="0.25">
      <c r="A49" s="1"/>
      <c r="B49" s="63"/>
      <c r="C49" s="64"/>
      <c r="D49" s="64"/>
      <c r="E49" s="64"/>
      <c r="F49" s="64"/>
      <c r="G49" s="56"/>
      <c r="H49" s="19"/>
      <c r="I49" s="1"/>
    </row>
    <row r="50" spans="1:9" x14ac:dyDescent="0.25">
      <c r="A50" s="1"/>
      <c r="B50" s="1"/>
      <c r="C50" s="1"/>
      <c r="D50" s="1"/>
      <c r="E50" s="1"/>
      <c r="F50" s="1"/>
      <c r="G50" s="57"/>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3">
        <f>(G47-G48)*(1+'Fane 13. Nøgletal'!C15)</f>
        <v>26870423.838057589</v>
      </c>
      <c r="H52" s="14" t="s">
        <v>3</v>
      </c>
      <c r="I52" s="1"/>
    </row>
    <row r="53" spans="1:9" x14ac:dyDescent="0.25">
      <c r="A53" s="1"/>
      <c r="B53" s="124" t="s">
        <v>144</v>
      </c>
      <c r="C53" s="125"/>
      <c r="D53" s="125"/>
      <c r="E53" s="125"/>
      <c r="F53" s="126"/>
      <c r="G53" s="53">
        <f>(G52)*'Fane 13. Nøgletal'!C26</f>
        <v>0</v>
      </c>
      <c r="H53" s="14" t="s">
        <v>3</v>
      </c>
      <c r="I53" s="1"/>
    </row>
    <row r="54" spans="1:9" x14ac:dyDescent="0.25">
      <c r="A54" s="1"/>
      <c r="B54" s="63"/>
      <c r="C54" s="64"/>
      <c r="D54" s="64"/>
      <c r="E54" s="64"/>
      <c r="F54" s="64"/>
      <c r="G54" s="56"/>
      <c r="H54" s="19"/>
      <c r="I54" s="1"/>
    </row>
    <row r="55" spans="1:9" x14ac:dyDescent="0.25">
      <c r="A55" s="1"/>
      <c r="B55" s="1"/>
      <c r="C55" s="1"/>
      <c r="D55" s="1"/>
      <c r="E55" s="1"/>
      <c r="F55" s="1"/>
      <c r="G55" s="57"/>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3">
        <f>(G52-G53)*(1+'Fane 13. Nøgletal'!C15)</f>
        <v>27827010.926692441</v>
      </c>
      <c r="H57" s="14" t="s">
        <v>3</v>
      </c>
      <c r="I57" s="1"/>
    </row>
    <row r="58" spans="1:9" x14ac:dyDescent="0.25">
      <c r="A58" s="1"/>
      <c r="B58" s="124" t="s">
        <v>179</v>
      </c>
      <c r="C58" s="125"/>
      <c r="D58" s="125"/>
      <c r="E58" s="125"/>
      <c r="F58" s="126"/>
      <c r="G58" s="53">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nDs/NTHnP07pZYKZjH9e9pF8pmYZnOXQTTfmv+5dIAGOI6SbMGyAb/CY59TT1XPZHhyg7gsMMaFhUdGE0iLvzw==" saltValue="vqFP1l77xA5QKcDjwvElH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8"/>
      <c r="H8" s="1"/>
    </row>
    <row r="9" spans="1:8" x14ac:dyDescent="0.25">
      <c r="A9" s="1"/>
      <c r="B9" s="72" t="s">
        <v>180</v>
      </c>
      <c r="C9" s="73"/>
      <c r="D9" s="73"/>
      <c r="E9" s="73"/>
      <c r="F9" s="74"/>
      <c r="G9" s="59">
        <v>1.9211428305783051E-2</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pqJvXC1WWQMeoafjBirx+L9SlM/YZo9bGbkBBODqf9OkDGJhyb5ARSvCuT2JE4DWRAI8BNsizk6dCvI0YmCo7g==" saltValue="4nyCJxI4Z/GJ5oGss6wIV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2022-12-01T09:08:21Z</dcterms:modified>
</cp:coreProperties>
</file>