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Allerød AS (S002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3" i="37" s="1"/>
  <c r="E14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<sst xmlns="http://schemas.openxmlformats.org/spreadsheetml/2006/main" count="711" uniqueCount="288">
  <si>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</si>
  <si>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</si>
  <si>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</si>
  <si>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</si>
  <si>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</si>
  <si>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</si>
  <si>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</si>
  <si>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</si>
  <si>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</si>
  <si>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</si>
  <si>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</si>
  <si>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</si>
  <si>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</si>
  <si>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</si>
  <si>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</si>
  <si>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</si>
  <si>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</si>
  <si>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</si>
  <si>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</si>
  <si>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</si>
  <si>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</si>
  <si>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</si>
  <si>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</si>
  <si>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</si>
  <si>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</si>
  <si>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</si>
  <si>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</si>
  <si>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</si>
  <si>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</si>
  <si>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</si>
  <si>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</si>
  <si>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</si>
  <si>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</si>
  <si>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</si>
  <si>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</si>
  <si>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</si>
  <si>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</si>
  <si>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</si>
  <si>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</si>
  <si>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</si>
  <si>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</si>
  <si>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</si>
  <si>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</si>
  <si>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</si>
  <si>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</si>
  <si>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</si>
  <si>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</si>
  <si>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</si>
  <si>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</si>
  <si>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</si>
  <si>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</si>
  <si>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</si>
  <si>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</si>
  <si>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</si>
  <si>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</si>
  <si>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</si>
  <si>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</si>
  <si>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</si>
  <si>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</si>
  <si>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</si>
  <si>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</si>
  <si>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</si>
  <si>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</si>
  <si>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</si>
  <si>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</si>
  <si>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</si>
  <si>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</si>
  <si>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</si>
  <si>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</si>
  <si>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</si>
  <si>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</si>
  <si>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</si>
  <si>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</si>
  <si>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</si>
  <si>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</si>
  <si>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</si>
  <si>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</si>
  <si>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</si>
  <si>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</si>
  <si>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</si>
  <si>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</si>
  <si>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</si>
  <si>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</si>
  <si>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</si>
  <si>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</si>
  <si>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</si>
  <si>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</si>
  <si>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</si>
  <si>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</si>
  <si>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</si>
  <si>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</si>
  <si>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</si>
  <si>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</si>
  <si>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</si>
  <si>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</si>
  <si>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</si>
  <si>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</si>
  <si>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</si>
  <si>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</si>
  <si>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</si>
  <si>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</si>
  <si>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</si>
  <si>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</si>
  <si>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</si>
  <si>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</si>
  <si>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</si>
  <si>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</si>
  <si>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</si>
  <si>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</si>
  <si>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</si>
  <si>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</si>
  <si>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</si>
  <si>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</si>
  <si>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</si>
  <si>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</si>
  <si>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</si>
  <si>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</si>
  <si>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</si>
  <si>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</si>
  <si>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</si>
  <si>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</si>
  <si>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</si>
  <si>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</si>
  <si>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</si>
  <si>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</si>
  <si>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</si>
  <si>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</si>
  <si>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</si>
  <si>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</si>
  <si>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</si>
  <si>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</si>
  <si>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</si>
  <si>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</si>
  <si>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</si>
  <si>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</si>
  <si>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</si>
  <si>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</si>
  <si>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</si>
  <si>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</si>
  <si>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</si>
  <si>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</si>
  <si>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</si>
  <si>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</si>
  <si>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</si>
  <si>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</si>
  <si>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</si>
  <si>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</si>
  <si>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</si>
  <si>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</si>
  <si>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</si>
  <si>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</si>
  <si>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</si>
  <si>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</si>
  <si>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</si>
  <si>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</si>
  <si>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</si>
  <si>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</si>
  <si>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</si>
  <si>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</si>
  <si>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</si>
  <si>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</si>
  <si>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</si>
  <si>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</si>
  <si>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</si>
  <si>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</si>
  <si>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</si>
  <si>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</si>
  <si>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</si>
  <si>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</si>
  <si>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</si>
  <si>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</si>
  <si>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</si>
  <si>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</si>
  <si>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</si>
  <si>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</si>
  <si>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</si>
  <si>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</si>
  <si>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</si>
  <si>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</si>
  <si>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</si>
  <si>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</si>
  <si>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</si>
  <si>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</si>
  <si>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</si>
  <si>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</si>
  <si>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</si>
  <si>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</si>
  <si>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</si>
  <si>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</si>
  <si>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</si>
  <si>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</si>
  <si>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</si>
  <si>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</si>
  <si>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</si>
  <si>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</si>
  <si>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</si>
  <si>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</si>
  <si>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</si>
  <si>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</si>
  <si>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</si>
  <si>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</si>
  <si>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</si>
  <si>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</si>
  <si>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</si>
  <si>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</si>
  <si>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</si>
  <si>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</si>
  <si>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</si>
  <si>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</si>
  <si>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</si>
  <si>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</si>
  <si>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</si>
  <si>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</si>
  <si>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</si>
  <si>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</si>
  <si>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</si>
  <si>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</si>
  <si>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</si>
  <si>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</si>
  <si>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</si>
  <si>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</si>
  <si>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</si>
  <si>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</si>
  <si>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</si>
  <si>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</si>
  <si>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</si>
  <si>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</si>
  <si>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</si>
  <si>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</si>
  <si>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</si>
  <si>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</si>
  <si>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</si>
  <si>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</si>
  <si>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</si>
  <si>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</si>
  <si>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</si>
  <si>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</si>
  <si>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</si>
  <si>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</si>
  <si>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</si>
  <si>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</si>
  <si>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</si>
  <si>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</si>
  <si>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</si>
  <si>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</si>
  <si>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</si>
  <si>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</si>
  <si>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</si>
  <si>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</si>
  <si>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</si>
  <si>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</si>
  <si>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</si>
  <si>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</si>
  <si>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</si>
  <si>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</si>
  <si>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</si>
  <si>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</si>
  <si>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</si>
  <si>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</si>
  <si>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</si>
  <si>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</si>
  <si>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</si>
  <si>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</si>
  <si>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</si>
  <si>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</si>
  <si>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</si>
  <si>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</si>
  <si>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</si>
  <si>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</si>
  <si>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</si>
  <si>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</si>
  <si>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</si>
  <si>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</si>
  <si>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</si>
  <si>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</si>
  <si>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</si>
  <si>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</si>
  <si>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</si>
  <si>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</si>
  <si>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Udvidelser af forsyningsområde</t>
  </si>
  <si>
    <t>Søgrøften og Søparken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</si>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</sst>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285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bASmKTRu4TmdPvnAuCcAfbMIMk9A0XJa4slOsqdwHceI7+uZZ376w85GNpTUUE/qOTrMf1J+BEdXgjOnnGtqQ==" saltValue="/zdAhawvjYJKxnZ6fAeU0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262</v>
      </c>
      <c r="C10" s="9">
        <v>516639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60892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124836</v>
      </c>
      <c r="D12" s="14" t="s">
        <v>3</v>
      </c>
      <c r="E12" s="1"/>
      <c r="F12" s="1"/>
    </row>
    <row r="13" spans="1:6" x14ac:dyDescent="0.25">
      <c r="A13" s="1"/>
      <c r="B13" s="65" t="s">
        <v>287</v>
      </c>
      <c r="C13" s="9">
        <v>85600</v>
      </c>
      <c r="D13" s="14" t="s">
        <v>3</v>
      </c>
      <c r="E13" s="1"/>
      <c r="F13" s="1"/>
    </row>
    <row r="14" spans="1:6" x14ac:dyDescent="0.25">
      <c r="A14" s="1"/>
      <c r="B14" s="65" t="s">
        <v>265</v>
      </c>
      <c r="C14" s="9">
        <v>248677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1036644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1043497.1394531601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9" t="s">
        <v>142</v>
      </c>
      <c r="C19" s="100"/>
      <c r="D19" s="101"/>
      <c r="E19" s="1"/>
      <c r="F19" s="1"/>
    </row>
    <row r="20" spans="1:6" x14ac:dyDescent="0.25">
      <c r="A20" s="1"/>
      <c r="B20" s="65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5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9"/>
      <c r="C24" s="100"/>
      <c r="D24" s="10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9" t="s">
        <v>115</v>
      </c>
      <c r="C27" s="100"/>
      <c r="D27" s="101"/>
      <c r="E27" s="1"/>
      <c r="F27" s="1"/>
    </row>
    <row r="28" spans="1:6" x14ac:dyDescent="0.25">
      <c r="A28" s="1"/>
      <c r="B28" s="65" t="s">
        <v>116</v>
      </c>
      <c r="C28" s="9">
        <v>660953</v>
      </c>
      <c r="D28" s="14" t="s">
        <v>3</v>
      </c>
      <c r="E28" s="1"/>
      <c r="F28" s="1"/>
    </row>
    <row r="29" spans="1:6" x14ac:dyDescent="0.25">
      <c r="A29" s="1"/>
      <c r="B29" s="65" t="s">
        <v>117</v>
      </c>
      <c r="C29" s="9">
        <v>660953</v>
      </c>
      <c r="D29" s="14" t="s">
        <v>3</v>
      </c>
      <c r="E29" s="1"/>
      <c r="F29" s="1"/>
    </row>
    <row r="30" spans="1:6" x14ac:dyDescent="0.2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9"/>
      <c r="C32" s="100"/>
      <c r="D32" s="10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stqF0AzHdqmz6qnvLjBG72gVjwlC3uJo1V1lY7Q0amGhJLYWll6uPBHC3Rbea4VD7RSyi6X05a3iUn705bbCxw==" saltValue="oMQTtReb8/iweEdzl7BqX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267</v>
      </c>
      <c r="C8" s="100"/>
      <c r="D8" s="100"/>
      <c r="E8" s="100"/>
      <c r="F8" s="101"/>
      <c r="G8" s="1"/>
    </row>
    <row r="9" spans="1:7" x14ac:dyDescent="0.25">
      <c r="A9" s="1"/>
      <c r="B9" s="104" t="s">
        <v>268</v>
      </c>
      <c r="C9" s="105"/>
      <c r="D9" s="106"/>
      <c r="E9" s="9">
        <v>10622571.489205271</v>
      </c>
      <c r="F9" s="14" t="s">
        <v>3</v>
      </c>
      <c r="G9" s="1"/>
    </row>
    <row r="10" spans="1:7" x14ac:dyDescent="0.25">
      <c r="A10" s="1"/>
      <c r="B10" s="104" t="s">
        <v>269</v>
      </c>
      <c r="C10" s="105"/>
      <c r="D10" s="106"/>
      <c r="E10" s="9">
        <v>5268671.0930552557</v>
      </c>
      <c r="F10" s="14" t="s">
        <v>3</v>
      </c>
      <c r="G10" s="1"/>
    </row>
    <row r="11" spans="1:7" x14ac:dyDescent="0.25">
      <c r="A11" s="1"/>
      <c r="B11" s="104" t="s">
        <v>270</v>
      </c>
      <c r="C11" s="105"/>
      <c r="D11" s="106"/>
      <c r="E11" s="9">
        <v>5268671.0930552557</v>
      </c>
      <c r="F11" s="14" t="s">
        <v>3</v>
      </c>
      <c r="G11" s="1"/>
    </row>
    <row r="12" spans="1:7" x14ac:dyDescent="0.25">
      <c r="A12" s="1"/>
      <c r="B12" s="104" t="s">
        <v>271</v>
      </c>
      <c r="C12" s="105"/>
      <c r="D12" s="106"/>
      <c r="E12" s="9">
        <v>-6641348.5374542847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272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273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276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48532090.723343596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52069661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277</v>
      </c>
      <c r="C26" s="60"/>
      <c r="D26" s="67"/>
      <c r="E26" s="48">
        <f>E23-(E24-E25)</f>
        <v>-3537570.2766564041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283</v>
      </c>
      <c r="C31" s="117"/>
      <c r="D31" s="118"/>
      <c r="E31" s="9">
        <v>3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282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/Ia1AZXUyMACKcMyp3gKBbXs2bJffywbLS8clbZXC3mTLFjzKVuwhOS4+Pi6pHL8HMeoB9+X90KqAcAlAt7PBA==" saltValue="Ulu0RuUPg3BGhQZukzNOz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739675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-739675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-739675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Xpa1XWfejb2V4lyh8qjlqx7treVhjG9ZuunzuXJd00jEmoHwCu2lPwakyfOimAtY4NsmgUr9cANTq8AWvw6Ig==" saltValue="dNgsOg4/1hks/LiIVYoMo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284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0e6XWWId4p59S4zUhguh6tcAy6f5608aCNLSDr0SIo7XSedEPRY8GQCTJP4j4F2MzDajiVedMjY9mG+Z9DEZQ==" saltValue="uV4LN3zbw4WrpjIF5g0nL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280</v>
      </c>
      <c r="C11" s="22">
        <v>0</v>
      </c>
      <c r="D11" s="14" t="s">
        <v>3</v>
      </c>
      <c r="E11" s="9">
        <v>960586</v>
      </c>
      <c r="F11" s="14" t="s">
        <v>3</v>
      </c>
      <c r="G11" s="1"/>
    </row>
    <row r="12" spans="1:7" x14ac:dyDescent="0.25">
      <c r="A12" s="1"/>
      <c r="B12" s="47" t="s">
        <v>279</v>
      </c>
      <c r="C12" s="22">
        <v>211597</v>
      </c>
      <c r="D12" s="14" t="s">
        <v>3</v>
      </c>
      <c r="E12" s="9">
        <v>302506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211597</v>
      </c>
      <c r="D13" s="13" t="s">
        <v>3</v>
      </c>
      <c r="E13" s="12">
        <f>SUM(E10:E12)</f>
        <v>1263092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212295.27010000002</v>
      </c>
      <c r="D14" s="13" t="s">
        <v>3</v>
      </c>
      <c r="E14" s="12">
        <f>E13*(1+'Fane 14. Nøgletal'!C14)</f>
        <v>1267260.2036000001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ahD27V18/LBOG1tw+nyJW0Fabc2tncc7ZHhgKge3ZCc7CyYZn6Yar9ytcnuiqpj6Q+bAPJcZupAyLtMmGrB1Q==" saltValue="VcK+CLobxylCWtqH9dZ6k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KAXar+fIpJa8mG/kZl6pdTPrqKiWFrobWNrE6Ax1Bjr4fsYMsHaJiBLXh/CmFYhuApmuDKsMQaL772qeoqCMQ==" saltValue="JP/tiBAA4jJRMSLSRgXX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NgNeKTEzSt/e6wWQJ90CTCZpSQjB+obwMBAcI0kqO7MaCh0TQbkPZngmyVggvC2n30NnspyjkVxQf+o/nzI/A==" saltValue="jIAXX0VX+wizG2REYzWCE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RxpXtLkQ4bUF+kJkPT91OuuRg2f6c+Xnq/MGOJp2tUJVVe2xgkZIKTB4RcjpGXUJPFfMw5HDVh0Qd7JVNeb/A==" saltValue="FWPyysE7w7Y8XD3k5rEbT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jnT8l2fMARyLHMa8xJfwEJPcRSHf8Z61OP5QaFyq2bH/btOUQiKxSjlLJnyxO3t5ftdM6ZFmBfX06pUx6wHUQ==" saltValue="xp8EVLqOQaJ/YleGrTvQg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RQ3Fp3vCqY3VUP4hrTvanmTbS1uRhh41vqxUTM4f4CaTUS4Ptxy6UZAmCUgfFIwp9FoG8xDYp4WfcR8CcHVavQ==" saltValue="fsAII5eBh8nFaSXXi5IKt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42013439.830088221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tillæg'!C14</f>
        <v>212295.27010000002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tillæg'!E14</f>
        <v>1267260.2036000001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143526.88450250111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-357645.63522204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-304231.01171667007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-473421.01809470821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42501224.523257293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1704450.1394531601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-739675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43465999.662710451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KILSmOQI1ZdEf3xBG25nw0pepz7e9meAxrduwpYXC4WkNzazhc0gGLt+yGE7sv6yCEqu93TGPB5jOkKCEQS0w==" saltValue="s7P/xgHxgt0+mAA8lnlQl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42501224.523257293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140254.04092674906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-349490.24173120019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-299130.27457422845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-467953.55450409534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41524904.493374519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1707893.6800133556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43232798.173387878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RAGOKkw7WKUOp2uKlHHebiUcJ2j077+XyVcSmCBXHk0jKkIRBxU4p9QR3ZtpMRO9gZb2L3YMiXZy90t+NY2FmA==" saltValue="EjtURzbBY8YRm/PLiIDA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41524904.493374519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137032.18482813591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-341461.90073448315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-294115.05639071699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-462549.23377569631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40563810.487301752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1050395.5842573997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41614206.071559153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ajh9TNpjd6FAwzj4lCkMmOtaBmizAj2NlQ+heQMSxjJ3+RPShVk5DqnWBQxC6aro+smAhM9juk32rxqORGWjQ==" saltValue="N+RB+3J920uLpRrE6Lnn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40563810.487301752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133860.57460809578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-333558.76428896794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-289183.92335527024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-457207.32668269821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39617721.047582902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1053861.8896854492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40671582.937268354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lIDu2bw++n1iG94/SZN5GhwtkYi7FEOqKIxBlHkDlDuJhJTRcqpDtd2N900i488olzVbGUgGaONfQkSATJqcA==" saltValue="TtzOZe7Bmki7QMFKe5Sa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42772998.530021638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37340.057999999997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436165.07760000002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848404.83369574614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-881898.16998634767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drift'!G33</f>
        <v>-305086.16954544227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-894484.32969737542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42013439.830088221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2353357.4197390801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102744.83132172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97864.451833938307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6" t="s">
        <v>148</v>
      </c>
      <c r="C32" s="97"/>
      <c r="D32" s="98"/>
      <c r="E32" s="10">
        <v>-736747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43727914.701661237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qI3K4osUZmZjMnrLb3KcbVl5FOOTqPJaZekiAKCAUGL/AQ2xcfO40EsNTe4NKSoZNaeO7LuYw2Ko+8CmpAbsA==" saltValue="PGQDTMcBoPhZUUS0hzcvn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99" t="s">
        <v>56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45</v>
      </c>
      <c r="C5" s="105"/>
      <c r="D5" s="105"/>
      <c r="E5" s="105"/>
      <c r="F5" s="106"/>
      <c r="G5" s="24">
        <v>15067392</v>
      </c>
      <c r="H5" s="14" t="s">
        <v>3</v>
      </c>
      <c r="I5" s="1"/>
    </row>
    <row r="6" spans="1:9" x14ac:dyDescent="0.25">
      <c r="A6" s="1"/>
      <c r="B6" s="89" t="s">
        <v>145</v>
      </c>
      <c r="C6" s="90"/>
      <c r="D6" s="90"/>
      <c r="E6" s="90"/>
      <c r="F6" s="91"/>
      <c r="G6" s="51">
        <v>0</v>
      </c>
      <c r="H6" s="14" t="s">
        <v>3</v>
      </c>
      <c r="I6" s="1"/>
    </row>
    <row r="7" spans="1:9" x14ac:dyDescent="0.25">
      <c r="A7" s="1"/>
      <c r="B7" s="104" t="s">
        <v>46</v>
      </c>
      <c r="C7" s="105"/>
      <c r="D7" s="105"/>
      <c r="E7" s="105"/>
      <c r="F7" s="106"/>
      <c r="G7" s="24">
        <f>SUM(G5:G6)*'Fane 14. Nøgletal'!C29</f>
        <v>301347.84000000003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57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4" t="s">
        <v>47</v>
      </c>
      <c r="C11" s="105"/>
      <c r="D11" s="105"/>
      <c r="E11" s="105"/>
      <c r="F11" s="106"/>
      <c r="G11" s="24">
        <f>(G5-G7)*(1+'Fane 14. Nøgletal'!C10)</f>
        <v>15024449.932800001</v>
      </c>
      <c r="H11" s="14" t="s">
        <v>3</v>
      </c>
      <c r="I11" s="1"/>
    </row>
    <row r="12" spans="1:9" ht="15" customHeight="1" x14ac:dyDescent="0.25">
      <c r="A12" s="1"/>
      <c r="B12" s="104" t="s">
        <v>146</v>
      </c>
      <c r="C12" s="105"/>
      <c r="D12" s="105"/>
      <c r="E12" s="105"/>
      <c r="F12" s="106"/>
      <c r="G12" s="24">
        <v>-10265.46849770512</v>
      </c>
      <c r="H12" s="14" t="s">
        <v>3</v>
      </c>
      <c r="I12" s="1"/>
    </row>
    <row r="13" spans="1:9" x14ac:dyDescent="0.25">
      <c r="A13" s="1"/>
      <c r="B13" s="89" t="s">
        <v>143</v>
      </c>
      <c r="C13" s="90"/>
      <c r="D13" s="90"/>
      <c r="E13" s="90"/>
      <c r="F13" s="91"/>
      <c r="G13" s="51">
        <v>0</v>
      </c>
      <c r="H13" s="14" t="s">
        <v>3</v>
      </c>
      <c r="I13" s="1"/>
    </row>
    <row r="14" spans="1:9" x14ac:dyDescent="0.25">
      <c r="A14" s="1"/>
      <c r="B14" s="110" t="s">
        <v>48</v>
      </c>
      <c r="C14" s="111"/>
      <c r="D14" s="111"/>
      <c r="E14" s="111"/>
      <c r="F14" s="112"/>
      <c r="G14" s="51">
        <v>0</v>
      </c>
      <c r="H14" s="14" t="s">
        <v>3</v>
      </c>
      <c r="I14" s="1"/>
    </row>
    <row r="15" spans="1:9" x14ac:dyDescent="0.25">
      <c r="A15" s="1"/>
      <c r="B15" s="104" t="s">
        <v>49</v>
      </c>
      <c r="C15" s="105"/>
      <c r="D15" s="105"/>
      <c r="E15" s="105"/>
      <c r="F15" s="106"/>
      <c r="G15" s="24">
        <f>SUM(G11:G14)*'Fane 14. Nøgletal'!C29</f>
        <v>300283.6892860459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9" t="s">
        <v>58</v>
      </c>
      <c r="C18" s="100"/>
      <c r="D18" s="100"/>
      <c r="E18" s="100"/>
      <c r="F18" s="100"/>
      <c r="G18" s="100"/>
      <c r="H18" s="101"/>
      <c r="I18" s="1"/>
    </row>
    <row r="19" spans="1:9" x14ac:dyDescent="0.25">
      <c r="A19" s="1"/>
      <c r="B19" s="104" t="s">
        <v>50</v>
      </c>
      <c r="C19" s="105"/>
      <c r="D19" s="105"/>
      <c r="E19" s="105"/>
      <c r="F19" s="106"/>
      <c r="G19" s="24">
        <f>(SUM(G11:G12,G14)-(G15))*(1+'Fane 14. Nøgletal'!C10)</f>
        <v>14971394.038579036</v>
      </c>
      <c r="H19" s="14" t="s">
        <v>3</v>
      </c>
      <c r="I19" s="1"/>
    </row>
    <row r="20" spans="1:9" x14ac:dyDescent="0.25">
      <c r="A20" s="1"/>
      <c r="B20" s="110" t="s">
        <v>51</v>
      </c>
      <c r="C20" s="111"/>
      <c r="D20" s="111"/>
      <c r="E20" s="111"/>
      <c r="F20" s="112"/>
      <c r="G20" s="51">
        <v>0</v>
      </c>
      <c r="H20" s="14" t="s">
        <v>3</v>
      </c>
      <c r="I20" s="1"/>
    </row>
    <row r="21" spans="1:9" x14ac:dyDescent="0.25">
      <c r="A21" s="1"/>
      <c r="B21" s="104" t="s">
        <v>52</v>
      </c>
      <c r="C21" s="105"/>
      <c r="D21" s="105"/>
      <c r="E21" s="105"/>
      <c r="F21" s="106"/>
      <c r="G21" s="24">
        <f>SUM(G19:G20)*'Fane 14. Nøgletal'!C29</f>
        <v>299427.88077158073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9" t="s">
        <v>59</v>
      </c>
      <c r="C24" s="100"/>
      <c r="D24" s="100"/>
      <c r="E24" s="100"/>
      <c r="F24" s="100"/>
      <c r="G24" s="100"/>
      <c r="H24" s="101"/>
      <c r="I24" s="1"/>
    </row>
    <row r="25" spans="1:9" x14ac:dyDescent="0.25">
      <c r="A25" s="1"/>
      <c r="B25" s="104" t="s">
        <v>53</v>
      </c>
      <c r="C25" s="105"/>
      <c r="D25" s="105"/>
      <c r="E25" s="105"/>
      <c r="F25" s="106"/>
      <c r="G25" s="24">
        <f>(G19+G20-G21)*(1+'Fane 14. Nøgletal'!C12)</f>
        <v>14961003.891116261</v>
      </c>
      <c r="H25" s="14" t="s">
        <v>3</v>
      </c>
      <c r="I25" s="1"/>
    </row>
    <row r="26" spans="1:9" x14ac:dyDescent="0.25">
      <c r="A26" s="1"/>
      <c r="B26" s="110" t="s">
        <v>54</v>
      </c>
      <c r="C26" s="111"/>
      <c r="D26" s="111"/>
      <c r="E26" s="111"/>
      <c r="F26" s="112"/>
      <c r="G26" s="24">
        <v>266076.57329055003</v>
      </c>
      <c r="H26" s="14" t="s">
        <v>3</v>
      </c>
      <c r="I26" s="1"/>
    </row>
    <row r="27" spans="1:9" x14ac:dyDescent="0.25">
      <c r="A27" s="1"/>
      <c r="B27" s="104" t="s">
        <v>55</v>
      </c>
      <c r="C27" s="105"/>
      <c r="D27" s="105"/>
      <c r="E27" s="105"/>
      <c r="F27" s="106"/>
      <c r="G27" s="24">
        <f>(G25+G26)*'Fane 14. Nøgletal'!C29</f>
        <v>304541.60928813624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9" t="s">
        <v>62</v>
      </c>
      <c r="C30" s="100"/>
      <c r="D30" s="100"/>
      <c r="E30" s="100"/>
      <c r="F30" s="100"/>
      <c r="G30" s="100"/>
      <c r="H30" s="101"/>
      <c r="I30" s="1"/>
    </row>
    <row r="31" spans="1:9" x14ac:dyDescent="0.25">
      <c r="A31" s="1"/>
      <c r="B31" s="104" t="s">
        <v>63</v>
      </c>
      <c r="C31" s="105"/>
      <c r="D31" s="105"/>
      <c r="E31" s="105"/>
      <c r="F31" s="106"/>
      <c r="G31" s="24">
        <f>(G25+G26-G27)*(1+'Fane 14. Nøgletal'!C12)</f>
        <v>15216512.870564513</v>
      </c>
      <c r="H31" s="14" t="s">
        <v>3</v>
      </c>
      <c r="I31" s="1"/>
    </row>
    <row r="32" spans="1:9" x14ac:dyDescent="0.25">
      <c r="A32" s="1"/>
      <c r="B32" s="104" t="s">
        <v>171</v>
      </c>
      <c r="C32" s="105"/>
      <c r="D32" s="105"/>
      <c r="E32" s="105"/>
      <c r="F32" s="106"/>
      <c r="G32" s="24">
        <v>37795.606707599996</v>
      </c>
      <c r="H32" s="14" t="s">
        <v>3</v>
      </c>
      <c r="I32" s="1"/>
    </row>
    <row r="33" spans="1:9" x14ac:dyDescent="0.25">
      <c r="A33" s="1"/>
      <c r="B33" s="104" t="s">
        <v>64</v>
      </c>
      <c r="C33" s="105"/>
      <c r="D33" s="105"/>
      <c r="E33" s="105"/>
      <c r="F33" s="106"/>
      <c r="G33" s="24">
        <f>(G31+G32)*'Fane 14. Nøgletal'!C29</f>
        <v>305086.16954544227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232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4" t="s">
        <v>84</v>
      </c>
      <c r="C37" s="105"/>
      <c r="D37" s="105"/>
      <c r="E37" s="105"/>
      <c r="F37" s="106"/>
      <c r="G37" s="24">
        <f>(G31+G32-G33)*(1+'Fane 14. Nøgletal'!C14)</f>
        <v>14998554.741342172</v>
      </c>
      <c r="H37" s="14" t="s">
        <v>3</v>
      </c>
      <c r="I37" s="1"/>
    </row>
    <row r="38" spans="1:9" x14ac:dyDescent="0.25">
      <c r="A38" s="1"/>
      <c r="B38" s="104" t="s">
        <v>236</v>
      </c>
      <c r="C38" s="105"/>
      <c r="D38" s="105"/>
      <c r="E38" s="105"/>
      <c r="F38" s="106"/>
      <c r="G38" s="24">
        <f>SUM('Fane 2.1. Økonomisk ramme 2022'!C10,'Fane 2.1. Økonomisk ramme 2022'!C12,'Fane 2.1. Økonomisk ramme 2022'!C14)*(1+'Fane 14. Nøgletal'!C14)</f>
        <v>212995.84449133003</v>
      </c>
      <c r="H38" s="14" t="s">
        <v>3</v>
      </c>
      <c r="I38" s="1"/>
    </row>
    <row r="39" spans="1:9" x14ac:dyDescent="0.25">
      <c r="A39" s="1"/>
      <c r="B39" s="104" t="s">
        <v>234</v>
      </c>
      <c r="C39" s="105"/>
      <c r="D39" s="105"/>
      <c r="E39" s="105"/>
      <c r="F39" s="106"/>
      <c r="G39" s="24">
        <f>(G37+G38)*'Fane 14. Nøgletal'!C29</f>
        <v>304231.01171667007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9" t="s">
        <v>233</v>
      </c>
      <c r="C42" s="100"/>
      <c r="D42" s="100"/>
      <c r="E42" s="100"/>
      <c r="F42" s="100"/>
      <c r="G42" s="100"/>
      <c r="H42" s="101"/>
      <c r="I42" s="1"/>
    </row>
    <row r="43" spans="1:9" x14ac:dyDescent="0.25">
      <c r="A43" s="1"/>
      <c r="B43" s="104" t="s">
        <v>83</v>
      </c>
      <c r="C43" s="105"/>
      <c r="D43" s="105"/>
      <c r="E43" s="105"/>
      <c r="F43" s="106"/>
      <c r="G43" s="24">
        <f>(G37+G38-G39)*(1+'Fane 14. Nøgletal'!C14)</f>
        <v>14956513.728711421</v>
      </c>
      <c r="H43" s="14" t="s">
        <v>3</v>
      </c>
      <c r="I43" s="1"/>
    </row>
    <row r="44" spans="1:9" x14ac:dyDescent="0.25">
      <c r="A44" s="1"/>
      <c r="B44" s="107" t="s">
        <v>237</v>
      </c>
      <c r="C44" s="108"/>
      <c r="D44" s="108"/>
      <c r="E44" s="108"/>
      <c r="F44" s="109"/>
      <c r="G44" s="24">
        <f>G38*(1+'Fane 14. Nøgletal'!C14)</f>
        <v>213698.73077815145</v>
      </c>
      <c r="H44" s="14" t="s">
        <v>3</v>
      </c>
      <c r="I44" s="1"/>
    </row>
    <row r="45" spans="1:9" x14ac:dyDescent="0.25">
      <c r="A45" s="1"/>
      <c r="B45" s="104" t="s">
        <v>97</v>
      </c>
      <c r="C45" s="105"/>
      <c r="D45" s="105"/>
      <c r="E45" s="105"/>
      <c r="F45" s="106"/>
      <c r="G45" s="51">
        <v>0</v>
      </c>
      <c r="H45" s="14" t="s">
        <v>3</v>
      </c>
      <c r="I45" s="1"/>
    </row>
    <row r="46" spans="1:9" x14ac:dyDescent="0.25">
      <c r="A46" s="1"/>
      <c r="B46" s="104" t="s">
        <v>235</v>
      </c>
      <c r="C46" s="105"/>
      <c r="D46" s="105"/>
      <c r="E46" s="105"/>
      <c r="F46" s="106"/>
      <c r="G46" s="24">
        <f>(G43+G45)*'Fane 14. Nøgletal'!C29</f>
        <v>299130.27457422845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172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4" t="s">
        <v>173</v>
      </c>
      <c r="C52" s="105"/>
      <c r="D52" s="105"/>
      <c r="E52" s="105"/>
      <c r="F52" s="106"/>
      <c r="G52" s="24">
        <f>(G43+G45-G46)*(1+'Fane 14. Nøgletal'!C14)</f>
        <v>14705752.819535848</v>
      </c>
      <c r="H52" s="14" t="s">
        <v>3</v>
      </c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51">
        <v>0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24">
        <f>(G52+G53)*'Fane 14. Nøgletal'!C29</f>
        <v>294115.05639071699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9" t="s">
        <v>201</v>
      </c>
      <c r="C57" s="100"/>
      <c r="D57" s="100"/>
      <c r="E57" s="100"/>
      <c r="F57" s="100"/>
      <c r="G57" s="100"/>
      <c r="H57" s="101"/>
      <c r="I57" s="1"/>
    </row>
    <row r="58" spans="1:9" x14ac:dyDescent="0.25">
      <c r="A58" s="1"/>
      <c r="B58" s="62" t="s">
        <v>202</v>
      </c>
      <c r="C58" s="63"/>
      <c r="D58" s="63"/>
      <c r="E58" s="63"/>
      <c r="F58" s="64"/>
      <c r="G58" s="24">
        <f>(G52+G53-G54)*(1+'Fane 14. Nøgletal'!C14)</f>
        <v>14459196.167763511</v>
      </c>
      <c r="H58" s="14" t="s">
        <v>3</v>
      </c>
      <c r="I58" s="1"/>
    </row>
    <row r="59" spans="1:9" x14ac:dyDescent="0.25">
      <c r="A59" s="1"/>
      <c r="B59" s="62" t="s">
        <v>203</v>
      </c>
      <c r="C59" s="63"/>
      <c r="D59" s="63"/>
      <c r="E59" s="63"/>
      <c r="F59" s="64"/>
      <c r="G59" s="51">
        <v>0</v>
      </c>
      <c r="H59" s="14" t="s">
        <v>3</v>
      </c>
      <c r="I59" s="1"/>
    </row>
    <row r="60" spans="1:9" x14ac:dyDescent="0.25">
      <c r="A60" s="1"/>
      <c r="B60" s="62" t="s">
        <v>204</v>
      </c>
      <c r="C60" s="63"/>
      <c r="D60" s="63"/>
      <c r="E60" s="63"/>
      <c r="F60" s="64"/>
      <c r="G60" s="24">
        <f>(G58+G59)*'Fane 14. Nøgletal'!C29</f>
        <v>289183.92335527024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sxMnf0J6fu0lA5Nou8oVKEN6dKfY8clJmV0JF94v/KmvifTx/hiBv+Rl03VdC3lRHv8TSV8bBeKj7Wc0AinoA==" saltValue="KjznJ3pGoLRxm0tbV73ILw==" spinCount="100000" sheet="1" objects="1" scenarios="1"/>
  <mergeCells count="37"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29133275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265112.80249999999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29373355.035956252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391263.02436259849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51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526833.73966764368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29749445.546262607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96265.097606119976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527402.69251802145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29895878.617992315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1462919.1156804909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890589.85563630774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31068431.57323382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441486.29154672002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894484.32969737542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30716464.465748943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1271442.1622718803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473421.01809470821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31618483.412438873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1275637.9214073776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51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467953.55450409534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31253326.606465966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462549.23377569631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30892386.938020147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51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457207.32668269821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Vkbbg6xv09usTL1TB/J9kM3Lmq64Jtv5x19A4vBz9d43LNFyUdBTC7ybdwJalERbyuqq7NFyWgSCchMGVxMmjA==" saltValue="semLqdSLHKHBWl1Y45UY7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4.2873239579252209E-3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1.6713330026415566E-2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8.1960160270978123E-3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pZLxUtT9eK6dY3zGKAMJin9TaAIkn+B9jtRaUiiC2bvnRaipqxmWzRasl3zeO4ySX6fi8WBhrK7p1erICxFmA==" saltValue="E2v59ee6m9Lc3S5gcojas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2022-12-22T10:29:13Z</dcterms:modified>
</cp:coreProperties>
</file>