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Novafos Spildevand Allerød AS (S002)\ØR2022\"/>
    </mc:Choice>
  </mc:AlternateContent>
  <bookViews>
    <workbookView xWindow="3105" yWindow="1005" windowWidth="12735" windowHeight="4620" tabRatio="872"/>
  </bookViews>
  <sheets>
    <sheet name="1. Forside" sheetId="1" r:id="rId1"/>
    <sheet name="Fane 2.1. Økonomisk ramme 2022" sheetId="2" r:id="rId2"/>
    <sheet name="Fane 2.2. Økonomisk ramme 2023" sheetId="15" r:id="rId3"/>
    <sheet name="Fane 2.3. Økonomisk ramme 2024" sheetId="22" r:id="rId4"/>
    <sheet name="Fane 2.4. Økonomisk ramme 2025" sheetId="23" r:id="rId5"/>
    <sheet name="Fane 3. Omkostninger i ØR2021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20" sheetId="32" r:id="rId11"/>
    <sheet name="Fane 8. Korrektion af ØR2020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virksomhed" sheetId="29" r:id="rId17"/>
    <sheet name="Fane 13. Bortfald" sheetId="21" r:id="rId18"/>
    <sheet name="Fane 14. Nøgletal" sheetId="26" r:id="rId19"/>
  </sheets>
  <calcPr calcId="162913"/>
</workbook>
</file>

<file path=xl/calcChain.xml><?xml version="1.0" encoding="utf-8"?>
<calcChain xmlns="http://schemas.openxmlformats.org/spreadsheetml/2006/main">
  <c r="E32" i="32" l="1"/>
  <c r="E16" i="40" l="1"/>
  <c r="E12" i="40"/>
  <c r="E26" i="32" l="1"/>
  <c r="E34" i="32" s="1"/>
  <c r="C26" i="15" l="1"/>
  <c r="C30" i="2"/>
  <c r="C15" i="19"/>
  <c r="E28" i="20" l="1"/>
  <c r="E22" i="20"/>
  <c r="E16" i="20"/>
  <c r="E10" i="20"/>
  <c r="E10" i="11" l="1"/>
  <c r="G7" i="30" l="1"/>
  <c r="G11" i="30" s="1"/>
  <c r="E29" i="20" l="1"/>
  <c r="E30" i="20" s="1"/>
  <c r="E23" i="20"/>
  <c r="E24" i="20" s="1"/>
  <c r="E17" i="20"/>
  <c r="E18" i="20" s="1"/>
  <c r="E11" i="20"/>
  <c r="E12" i="20" s="1"/>
  <c r="E17" i="40" l="1"/>
  <c r="C32" i="2" s="1"/>
  <c r="C20" i="22" l="1"/>
  <c r="C20" i="15"/>
  <c r="C24" i="2"/>
  <c r="C20" i="23"/>
  <c r="E29" i="21" l="1"/>
  <c r="C29" i="21"/>
  <c r="E23" i="21"/>
  <c r="C23" i="21"/>
  <c r="E17" i="21"/>
  <c r="E18" i="21" s="1"/>
  <c r="C17" i="21"/>
  <c r="C18" i="21" s="1"/>
  <c r="E30" i="21" l="1"/>
  <c r="C30" i="21"/>
  <c r="E24" i="21"/>
  <c r="C24" i="21"/>
  <c r="C11" i="15"/>
  <c r="C10" i="15"/>
  <c r="E35" i="39"/>
  <c r="C35" i="39"/>
  <c r="C36" i="39" s="1"/>
  <c r="E27" i="39"/>
  <c r="C27" i="39"/>
  <c r="C28" i="39" s="1"/>
  <c r="E19" i="39"/>
  <c r="C19" i="39"/>
  <c r="E11" i="39"/>
  <c r="C11" i="39"/>
  <c r="C11" i="23" l="1"/>
  <c r="C10" i="23"/>
  <c r="C11" i="22"/>
  <c r="C10" i="22"/>
  <c r="E37" i="39"/>
  <c r="E36" i="39"/>
  <c r="E28" i="39"/>
  <c r="E29" i="39"/>
  <c r="E21" i="39"/>
  <c r="E20" i="39"/>
  <c r="E22" i="39" s="1"/>
  <c r="C20" i="39"/>
  <c r="C21" i="39"/>
  <c r="E13" i="39"/>
  <c r="E12" i="39"/>
  <c r="C13" i="39"/>
  <c r="C12" i="39"/>
  <c r="C37" i="39"/>
  <c r="C38" i="39" s="1"/>
  <c r="C29" i="39"/>
  <c r="C30" i="39" s="1"/>
  <c r="E38" i="39" l="1"/>
  <c r="E30" i="39"/>
  <c r="C23" i="22" s="1"/>
  <c r="C14" i="39"/>
  <c r="C26" i="2" s="1"/>
  <c r="E14" i="39"/>
  <c r="C27" i="2" s="1"/>
  <c r="C22" i="39"/>
  <c r="C22" i="15" s="1"/>
  <c r="C22" i="22"/>
  <c r="C22" i="23"/>
  <c r="C23" i="23"/>
  <c r="C23" i="15"/>
  <c r="C24" i="23" l="1"/>
  <c r="C24" i="22"/>
  <c r="C24" i="15"/>
  <c r="C28" i="2"/>
  <c r="G6" i="36" l="1"/>
  <c r="G10" i="36" l="1"/>
  <c r="G13" i="36" l="1"/>
  <c r="G17" i="36" l="1"/>
  <c r="G19" i="36" s="1"/>
  <c r="G15" i="30"/>
  <c r="G19" i="30" s="1"/>
  <c r="G23" i="36" l="1"/>
  <c r="G25" i="36" s="1"/>
  <c r="G21" i="30"/>
  <c r="G29" i="36" l="1"/>
  <c r="G25" i="30"/>
  <c r="G31" i="36" l="1"/>
  <c r="F11" i="11"/>
  <c r="C10" i="37" s="1"/>
  <c r="C13" i="37" s="1"/>
  <c r="C14" i="37" s="1"/>
  <c r="G11" i="11"/>
  <c r="G35" i="36" l="1"/>
  <c r="E19" i="27"/>
  <c r="C10" i="2"/>
  <c r="E11" i="21"/>
  <c r="E12" i="21" s="1"/>
  <c r="C11" i="21"/>
  <c r="C12" i="21" s="1"/>
  <c r="E11" i="29"/>
  <c r="E12" i="29" s="1"/>
  <c r="C11" i="29"/>
  <c r="C12" i="29" s="1"/>
  <c r="C16" i="19"/>
  <c r="C18" i="23" l="1"/>
  <c r="C18" i="22"/>
  <c r="C18" i="15"/>
  <c r="C15" i="2"/>
  <c r="C14" i="2"/>
  <c r="C22" i="2"/>
  <c r="C12" i="2"/>
  <c r="G38" i="30" s="1"/>
  <c r="G44" i="30" s="1"/>
  <c r="C13" i="2"/>
  <c r="G27" i="30" l="1"/>
  <c r="G31" i="30" l="1"/>
  <c r="E11" i="11"/>
  <c r="E10" i="37" s="1"/>
  <c r="E13" i="37" s="1"/>
  <c r="E14" i="37" s="1"/>
  <c r="C11" i="2" l="1"/>
  <c r="G36" i="36" s="1"/>
  <c r="G33" i="30"/>
  <c r="E18" i="27" s="1"/>
  <c r="G42" i="36" l="1"/>
  <c r="G37" i="36"/>
  <c r="G41" i="36" s="1"/>
  <c r="G37" i="30"/>
  <c r="E20" i="27"/>
  <c r="E33" i="27" s="1"/>
  <c r="C9" i="2" l="1"/>
  <c r="C16" i="2" s="1"/>
  <c r="G39" i="30"/>
  <c r="G43" i="30" s="1"/>
  <c r="G46" i="30" s="1"/>
  <c r="G52" i="30" s="1"/>
  <c r="G44" i="36"/>
  <c r="G53" i="36" s="1"/>
  <c r="C19" i="2"/>
  <c r="G55" i="36" l="1"/>
  <c r="C15" i="15"/>
  <c r="G59" i="36" l="1"/>
  <c r="G61" i="36" s="1"/>
  <c r="C15" i="23" s="1"/>
  <c r="C15" i="22"/>
  <c r="C17" i="2"/>
  <c r="C18" i="2" l="1"/>
  <c r="C20" i="2" s="1"/>
  <c r="C35" i="2" l="1"/>
  <c r="C9" i="15"/>
  <c r="C14" i="15" l="1"/>
  <c r="C12" i="15"/>
  <c r="C13" i="15" s="1"/>
  <c r="C16" i="15" l="1"/>
  <c r="C29" i="15" s="1"/>
  <c r="C9" i="22" l="1"/>
  <c r="G54" i="30"/>
  <c r="C12" i="22" l="1"/>
  <c r="C13" i="22" s="1"/>
  <c r="C14" i="22"/>
  <c r="G58" i="30"/>
  <c r="G60" i="30" s="1"/>
  <c r="C14" i="23" s="1"/>
  <c r="C16" i="22" l="1"/>
  <c r="C9" i="23" l="1"/>
  <c r="C12" i="23" s="1"/>
  <c r="C13" i="23" s="1"/>
  <c r="C16" i="23" s="1"/>
  <c r="C27" i="23" s="1"/>
  <c r="C27" i="22"/>
</calcChain>
</file>

<file path=xl/sharedStrings.xml><?xml version="1.0" encoding="utf-8"?>
<sst xmlns="http://schemas.openxmlformats.org/spreadsheetml/2006/main" count="711" uniqueCount="288">
  <si>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</si>
  <si>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</si>
  <si>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</si>
  <si>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</si>
  <si>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</si>
  <si>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</si>
  <si>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</si>
  <si>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</si>
  <si>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</si>
  <si>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</si>
  <si>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</si>
  <si>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</si>
  <si>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</si>
  <si>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</si>
  <si>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</si>
  <si>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</si>
  <si>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12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</si>
  <si>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</si>
  <si>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</si>
  <si>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</si>
  <si>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</si>
  <si>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</si>
  <si>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</si>
  <si>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</si>
  <si>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</si>
  <si>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Videreførte omkostninger fra den økonomiske ramme for 2020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</si>
  <si>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</si>
  <si>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</si>
  <si>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</si>
  <si>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</si>
  <si>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</si>
  <si>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</si>
  <si>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</si>
  <si>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</si>
  <si>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</si>
  <si>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</si>
  <si>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</si>
  <si>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</si>
  <si>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</si>
  <si>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Anlægsprojekter</t>
  </si>
  <si>
    <t>Bortfald</t>
  </si>
  <si>
    <t>Fane 13</t>
  </si>
  <si>
    <t>Fane 14</t>
  </si>
  <si>
    <t>Nye tillæg - Drift</t>
  </si>
  <si>
    <t>Nye tillæg - Anlæg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</si>
  <si>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</si>
  <si>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</si>
  <si>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</si>
  <si>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</si>
  <si>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</si>
  <si>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</si>
  <si>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</si>
  <si>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</si>
  <si>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</si>
  <si>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</si>
  <si>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</si>
  <si>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</si>
  <si>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</si>
  <si>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</si>
  <si>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</si>
  <si>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</si>
  <si>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</si>
  <si>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</si>
  <si>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</si>
  <si>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</si>
  <si>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</si>
  <si>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</si>
  <si>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</si>
  <si>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</si>
  <si>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</si>
  <si>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</si>
  <si>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</si>
  <si>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</si>
  <si>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</si>
  <si>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</si>
  <si>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</si>
  <si>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</si>
  <si>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</si>
  <si>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</si>
  <si>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</si>
  <si>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</si>
  <si>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</si>
  <si>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</si>
  <si>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</si>
  <si>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</si>
  <si>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anlægsomkostninger i de vejledende økonomiske rammer for 2023</t>
  </si>
  <si>
    <t>Individuelt effektiviseringskrav til de økonomiske rammer for 2018-2019</t>
  </si>
  <si>
    <t>Individuelt effektiviseringskrav til de økonomiske rammer for 2020-2021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</si>
  <si>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</si>
  <si>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</si>
  <si>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</si>
  <si>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</si>
  <si>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</si>
  <si>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</si>
  <si>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</si>
  <si>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Engangstillæg i alt</t>
  </si>
  <si>
    <t>Fane 5: Individuelt effektiviseringskrav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</si>
  <si>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</si>
  <si>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</si>
  <si>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</si>
  <si>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</si>
  <si>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2023</t>
  </si>
  <si>
    <t>Økonomisk ramme for 2023</t>
  </si>
  <si>
    <t>Periodevise driftsomkostninger til de økonomiske rammer for 2022</t>
  </si>
  <si>
    <t>Periodevise driftsomkostninger til de økonomiske rammer for 2023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</si>
  <si>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</si>
  <si>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</si>
  <si>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</si>
  <si>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2023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</si>
  <si>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</si>
  <si>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</si>
  <si>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</si>
  <si>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Engangstillæg til de økonomiske rammer for 2022</t>
  </si>
  <si>
    <t>Engangstillæg til de økonomiske rammer for 2023</t>
  </si>
  <si>
    <t>Generelt effektiviseringskrav</t>
  </si>
  <si>
    <t>Tillæg til tilbagebetaling af vejbidrag</t>
  </si>
  <si>
    <t>Tillæg til den økonomiske ramme for 2022</t>
  </si>
  <si>
    <t>Tillæg til den økonomiske ramme for 2023</t>
  </si>
  <si>
    <t>Samlede tillæg til periodevise driftsomkostninger jf. indmeldte oprensningsplan</t>
  </si>
  <si>
    <t>Difference (Korrektion)</t>
  </si>
  <si>
    <t>Antal år i næste reguleringsperiode</t>
  </si>
  <si>
    <t>Generelt effektiviseringskrav til anlægsomkostningerne</t>
  </si>
  <si>
    <t>Generelt effektiviseringskrav til driftsomkostningerne</t>
  </si>
  <si>
    <t>Nøgletal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</si>
  <si>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</si>
  <si>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</si>
  <si>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</si>
  <si>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</si>
  <si>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</si>
  <si>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</si>
  <si>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</si>
  <si>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</si>
  <si>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</si>
  <si>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13: Bortfald eller nedsættelse af omkostninger til mål, medfinansiering eller udvidelse</t>
  </si>
  <si>
    <t>Fane 10.2: Engangstillæg</t>
  </si>
  <si>
    <t>Fane 10.1: Varige tillæg</t>
  </si>
  <si>
    <t>Fane 11: Periodevise driftsomkostninger givet under prisloftsbekendtgørelsen</t>
  </si>
  <si>
    <t>Prisudvikling til brug for ØR2017</t>
  </si>
  <si>
    <t>Prisudvikling til brug for ØR2018-2019</t>
  </si>
  <si>
    <t>Generelt effektiviseringskrav til brug for anlægsomkostninger i ØR2017</t>
  </si>
  <si>
    <t>Generelt effektiviseringskrav til brug for anlægsomkostninger i ØR2020-2021</t>
  </si>
  <si>
    <t>Generelt effektiviseringskrav til brug for driftsomkostninger</t>
  </si>
  <si>
    <t>Tillæg til medfinansieringsprojekter godkendt under prisloftsbekendtgørelsen</t>
  </si>
  <si>
    <t>Periodevise driftsomkostninger i den økonomiske ramme for 2018</t>
  </si>
  <si>
    <t>Fane 3</t>
  </si>
  <si>
    <t>Periodevise driftsomkostninger i den økonomiske ramme for 2017</t>
  </si>
  <si>
    <t>Korrektion af driftsomkostninger i grundlaget</t>
  </si>
  <si>
    <t>Korrektion af anlægsomkostninger i grundlaget</t>
  </si>
  <si>
    <t>Korrektion af den økonomiske ramme for 2019</t>
  </si>
  <si>
    <t>Tidligere tilknyttet virksomhed - Drift</t>
  </si>
  <si>
    <t>Tidligere tilknyttet virksomhed - Anlæg</t>
  </si>
  <si>
    <t>Videreførte omkostninger fra den økonomiske ramme for 2022</t>
  </si>
  <si>
    <t>Videreførte omkostninger fra den økonomiske ramme for 2023</t>
  </si>
  <si>
    <t>Økonomisk ramme for 2024</t>
  </si>
  <si>
    <t>Tillæg til den økonomiske ramme for 2024</t>
  </si>
  <si>
    <t>Periodevise driftsomkostninger til de økonomiske rammer for 2024</t>
  </si>
  <si>
    <t>Periodevise driftsomkostninger i alt i 2024-prisniveau</t>
  </si>
  <si>
    <t>Fane 12: Tilknyttet virksomhed under hovedvirksomheden</t>
  </si>
  <si>
    <t>Tilknyttet virksomhed under hovedvirksomheden</t>
  </si>
  <si>
    <t>Beskrivelse af tilknyttet virksomhed</t>
  </si>
  <si>
    <t>Vejledende økonomisk ramme for 2024</t>
  </si>
  <si>
    <t>Tilknyttet virksomhed</t>
  </si>
  <si>
    <t>Prisudvikling til brug for nye omkostninger i ØR2021</t>
  </si>
  <si>
    <t>Nye tillæg i alt i 2020-prisniveau</t>
  </si>
  <si>
    <t>Engangstillæg i alt i 2022-prisniveau</t>
  </si>
  <si>
    <t>Engangstillæg i alt i 2023-prisniveau</t>
  </si>
  <si>
    <t>Engangstillæg til de økonomiske rammer for 2024</t>
  </si>
  <si>
    <t>Engangstillæg i alt i 2024-prisniveau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</si>
  <si>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</si>
  <si>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</si>
  <si>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</si>
  <si>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</si>
  <si>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</si>
  <si>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</si>
  <si>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</si>
  <si>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</si>
  <si>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</si>
  <si>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Fane 9: Anlægsprojekter igangsat senest den 1. marts 2016</t>
  </si>
  <si>
    <t>Anlægsprojekter igangsat senest den 1. marts 2016</t>
  </si>
  <si>
    <t>Anlægsprojekter igangsat senest den 1. marts 2016 i alt</t>
  </si>
  <si>
    <t>Anlægsprojekter igangsat senest 1. marts 2016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</si>
  <si>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</si>
  <si>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</si>
  <si>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</si>
  <si>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</si>
  <si>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Fradrag for kontrol af den økonomiske ramme</t>
  </si>
  <si>
    <t>Til indregning i de økonomiske rammer for 2022-2023</t>
  </si>
  <si>
    <t>Kontrol med overholdelse af økonomiske rammer</t>
  </si>
  <si>
    <t>Kontrol med de økonomiske rammer til indregning</t>
  </si>
  <si>
    <t>Fane 14: Nøgletal</t>
  </si>
  <si>
    <t>Generelt effektiviseringskrav til brug for anlægsomkostninger i ØR2018</t>
  </si>
  <si>
    <t>Generelt effektiviseringskrav til brug for anlægsomkostninger i ØR2019</t>
  </si>
  <si>
    <t>Generelt effektiviseringskrav til brug for anlægsomkostninger i ØR2021</t>
  </si>
  <si>
    <t>Generelt effektiviseringskrav til brug for anlægsomkostninger i ØR2022</t>
  </si>
  <si>
    <t>Fane 2.1: Samlet økonomisk ramme for 2022</t>
  </si>
  <si>
    <t>Korrektion af den økonomiske ramme for 2020</t>
  </si>
  <si>
    <t>Fane 2.2: Samlet økonomisk ramme for 2023</t>
  </si>
  <si>
    <t>Fane 2.3: Samlet økonomisk ramme for 2024</t>
  </si>
  <si>
    <t>Fane 2.4: Samlet økonomisk ramme for 2025</t>
  </si>
  <si>
    <t>Videreførte omkostninger fra den økonomiske ramme for 2024</t>
  </si>
  <si>
    <t>Økonomisk ramme for 2025</t>
  </si>
  <si>
    <t>Generelt effektiviseringskrav til driftsomkostninger i de vejledende økonomiske rammer for 2025</t>
  </si>
  <si>
    <t>Base for driftsomkostninger til de vejledende økonomiske rammer for 2025</t>
  </si>
  <si>
    <t>Bortfald af driftsomkostninger i de økonomiske rammer for 2025</t>
  </si>
  <si>
    <t>Vejledende generelt effektiviseringskrav til driftsomkostningerne i ØR25</t>
  </si>
  <si>
    <t>Generelt effektiviseringskrav til anlægsomkostninger i de vejledende økonomiske rammer for 2025</t>
  </si>
  <si>
    <t>Individuelt effektiviseringskrav til de økonomiske rammer for 2022-2023</t>
  </si>
  <si>
    <t>Beregningen af jeres individuelle effektiviseringskrav fremgår af metodepapir samt bilag til benchmarkingmodellen 2022</t>
  </si>
  <si>
    <t>Faktiske ikke-påvirkelige omkostninger i 2020</t>
  </si>
  <si>
    <t>Ikke-påvirkelige omkostninger i 2020-prisniveau</t>
  </si>
  <si>
    <t>Ikke-påvirkelige omkostninger i 2022-prisniveau</t>
  </si>
  <si>
    <t>Tillæg til den økonomiske ramme for 2025</t>
  </si>
  <si>
    <t>Fane 7: Kontrol med overholdelse af den økonomiske ramme for 2020</t>
  </si>
  <si>
    <t>Kontrol med overholdelse af den økonomiske ramme for 2020</t>
  </si>
  <si>
    <t>Indtægtsramme i den økonomiske ramme for 2020</t>
  </si>
  <si>
    <t>Faktiske indtægter i 2020</t>
  </si>
  <si>
    <t>Fane 8: Korrektioner af den økonomiske ramme for 2020</t>
  </si>
  <si>
    <t>Korrektion af periodevise driftsomkostninger i de økonomiske rammer for 2020</t>
  </si>
  <si>
    <t>Faktisk periodevis driftsomkostning i 2020</t>
  </si>
  <si>
    <t>Tidligere godkendt tillæg indregnet i den økonomiske ramme for 2020</t>
  </si>
  <si>
    <t>Faktisk omkostning til medfinansiering af klimatilpasningsprojekter i 2020</t>
  </si>
  <si>
    <t>Korrektioner af den økonomiske ramme for 2020 i alt</t>
  </si>
  <si>
    <t>Nye tillæg i alt i 2021-prisniveau</t>
  </si>
  <si>
    <t>Engangstillæg i alt i 2020-prisniveau</t>
  </si>
  <si>
    <t>Engangstillæg til de økonomiske rammer for 2025</t>
  </si>
  <si>
    <t>Engangstillæg i alt i 2025-prisniveau</t>
  </si>
  <si>
    <t>Periodevise driftsomkostninger i alt i 2020-prisniveau</t>
  </si>
  <si>
    <t>Periodevise driftsomkostninger til de økonomiske rammer for 2025</t>
  </si>
  <si>
    <t>Periodevise driftsomkostninger i alt i 2025-prisniveau</t>
  </si>
  <si>
    <t>Tilknyttet virksomhed under hovedvirksomheden i alt (2021-prisniveau)</t>
  </si>
  <si>
    <t>Bortfald eller nedsættelse i alt i 2024-prisniveau</t>
  </si>
  <si>
    <t>Bortfald eller nedsættelse fra og med de økonomiske rammer for 2025</t>
  </si>
  <si>
    <t>Generelt effektiviseringskrav til driftsomkostninger i de økonomiske rammer for 2022</t>
  </si>
  <si>
    <t>Generelt effektiviseringskrav til driftsomkostninger i de økonomiske rammer for 2023</t>
  </si>
  <si>
    <t>Generelt effektiviseringskrav til driftsomkostningerne i ØR22</t>
  </si>
  <si>
    <t>Generelt effektiviseringskrav til driftsomkostningerne i ØR23</t>
  </si>
  <si>
    <t>Nye driftsomkostninger til de økonomiske rammer for 2022</t>
  </si>
  <si>
    <t>- Heraf nye driftsomkostninger til de økonomiske rammer for 2022</t>
  </si>
  <si>
    <t>Generelt effektiviseringskrav til anlægsomkostninger i de økonomiske rammer for 2022</t>
  </si>
  <si>
    <t>Generelt effektiviseringskrav til anlægsomkostningerne i ØR22</t>
  </si>
  <si>
    <t>Nye anlægsomkostninger til de økonomiske rammer for 2022</t>
  </si>
  <si>
    <t>Generelt effektiviseringskrav til anlægsomkostningerne i ØR23</t>
  </si>
  <si>
    <t>- Heraf nye anlægsomkostninger til de økonomiske rammer for 2022</t>
  </si>
  <si>
    <t>Individuelt effektiviseringskrav til de økonomiske rammer for 2017</t>
  </si>
  <si>
    <t>Faktiske omkostninger i 2020</t>
  </si>
  <si>
    <t>Samlet økonomisk ramme for 2022</t>
  </si>
  <si>
    <t>Samlet økonomisk ramme for 2023</t>
  </si>
  <si>
    <t>Vejledende økonomisk ramme for 2025</t>
  </si>
  <si>
    <t>Omkostninger i ØR2021</t>
  </si>
  <si>
    <t>Kontrol af den økonomiske ramme for 2020</t>
  </si>
  <si>
    <t>Fane 3: Videreførte omkostninger fra den økonomiske ramme for 2021</t>
  </si>
  <si>
    <t>Økonomisk ramme for 2021</t>
  </si>
  <si>
    <t xml:space="preserve">Note: Denne opgørelse er taget fra jeres statusmeddelelse for den økonomiske ramme for 2021. I kan derfor ikke komme med høringssvar til denne opgørelse. </t>
  </si>
  <si>
    <t>Prisudvikling til brug for ØR2022-2023</t>
  </si>
  <si>
    <t>Prisudvikling til brug for nye omkostninger i ØR2020</t>
  </si>
  <si>
    <t>Base for anlægsomkostninger til de vejledende økonomiske rammer for 2025</t>
  </si>
  <si>
    <t>Bortfald af anlægsomkostninger i de økonomiske rammer for 2025</t>
  </si>
  <si>
    <t>Vejledende generelt effektiviseringskrav til anlægsomkostningerne i ØR25</t>
  </si>
  <si>
    <t xml:space="preserve">Indtægter fra tilbagebetalt skat eller sambeskatningsbidrag som følge af skattesagen </t>
  </si>
  <si>
    <t xml:space="preserve">Nedsættelse af økonomisk ramme som følge af skattesagen </t>
  </si>
  <si>
    <t>Videreførte omkostninger fra den økonomiske ramme for 2021</t>
  </si>
  <si>
    <t>Ingen tilknyttet virksomhed</t>
  </si>
  <si>
    <t>Spildevandsafgift</t>
  </si>
  <si>
    <t>Afgift til Forsyningssekretariatet</t>
  </si>
  <si>
    <t>Køb af produkter og ydelser fra andre vandselskaber reguleret af vandsektorloven</t>
  </si>
  <si>
    <t>Ejendomsskat</t>
  </si>
  <si>
    <t>Ingen bortfald eller nedsættelse</t>
  </si>
  <si>
    <t>Tidligere opgjorte over/underdækninger</t>
  </si>
  <si>
    <t>Over/underdækning i 2017</t>
  </si>
  <si>
    <t>Over/underdækning i 2018</t>
  </si>
  <si>
    <t>Korrigeret over/underdækning i 2018</t>
  </si>
  <si>
    <t>Over/underdækning i 2019</t>
  </si>
  <si>
    <t>Note: Opgørelsen af overholdelse af de økonomiske rammer og korrektioner heraf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</si>
  <si>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</si>
  <si>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2022</t>
  </si>
  <si>
    <t>Indregnet fradrag i økonomisk ramme for 2023</t>
  </si>
  <si>
    <t xml:space="preserve">Note: Opgørelsen af over/underækningen er taget fra jeres tidligere fremsendte økonomiske rammer og statusmeddelelser. I kan derfor ikke komme med høringssvar til denne opgørelse. </t>
  </si>
  <si>
    <t>Resultat af kontrol med overholdelse af den økonomiske ramme for 2020</t>
  </si>
  <si>
    <t>Oversigt over den økonomiske ramme for 2021</t>
  </si>
  <si>
    <t>Udvidelser af forsyningsområde</t>
  </si>
  <si>
    <t>Søgrøften og Søparken</t>
  </si>
  <si>
    <t>Ingen engangstillæg</t>
  </si>
  <si>
    <t>Note: Rækken 'Yderligere opkrævningsret for de økonomiske rammer for 2017 og/eller 2018' kan tage værdierne 0,1, 2 eller 3. Værdien er 1 hvis der er yderligere opkrævningsret fra 2017, 2 hvis der er yderligere opkrævningsret fra 2018 eller 3 hvis der er yderligere opkrævningsret for begge år. Hvis der ikke er nogen opkrævningsret overhovedet er værdien 0. Opkrævningsretten følger § 17, stk. 8 i den dagældende ØR-bekendtgørelse nr. 938 af 28. juni 2018.</t>
  </si>
  <si>
    <t>Yderligere opkrævningsret for de økonomiske rammer 2017 og/eller 2018</t>
  </si>
  <si>
    <t>Ingen anlægsprojekter</t>
  </si>
  <si>
    <t>Til økonomiske rammer for 2022 og 2023</t>
  </si>
  <si>
    <t>Kontrol med overholdelse af den økonomiske ramme</t>
  </si>
  <si>
    <t>Erstatninger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</si>
</sst>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8" borderId="2" xfId="0" applyFont="1" applyFill="1" applyBorder="1" applyAlignment="1" applyProtection="1">
      <alignment wrapText="1"/>
    </xf>
    <xf numFmtId="3" fontId="7" fillId="3" borderId="2" xfId="0" applyNumberFormat="1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2" fillId="2" borderId="0" xfId="0" applyFont="1" applyFill="1" applyAlignment="1" applyProtection="1">
      <alignment vertical="center" wrapText="1"/>
    </xf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3" fontId="8" fillId="4" borderId="2" xfId="0" applyNumberFormat="1" applyFont="1" applyFill="1" applyBorder="1" applyProtection="1"/>
    <xf numFmtId="0" fontId="8" fillId="8" borderId="3" xfId="0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  <xf numFmtId="3" fontId="8" fillId="4" borderId="2" xfId="0" applyNumberFormat="1" applyFont="1" applyFill="1" applyBorder="1" applyAlignment="1" applyProtection="1">
      <alignment horizontal="right"/>
    </xf>
    <xf numFmtId="1" fontId="8" fillId="0" borderId="1" xfId="0" applyNumberFormat="1" applyFont="1" applyFill="1" applyBorder="1" applyProtection="1"/>
    <xf numFmtId="10" fontId="8" fillId="0" borderId="1" xfId="4" applyNumberFormat="1" applyFont="1" applyFill="1" applyBorder="1" applyAlignment="1" applyProtection="1"/>
    <xf numFmtId="1" fontId="8" fillId="8" borderId="1" xfId="1" applyNumberFormat="1" applyFont="1" applyFill="1" applyBorder="1" applyProtection="1"/>
    <xf numFmtId="0" fontId="14" fillId="2" borderId="0" xfId="0" applyFont="1" applyFill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quotePrefix="1" applyFont="1" applyFill="1" applyBorder="1" applyAlignment="1" applyProtection="1">
      <alignment horizontal="left" wrapText="1"/>
    </xf>
    <xf numFmtId="0" fontId="8" fillId="8" borderId="6" xfId="0" quotePrefix="1" applyFont="1" applyFill="1" applyBorder="1" applyAlignment="1" applyProtection="1">
      <alignment horizontal="left" wrapText="1"/>
    </xf>
    <xf numFmtId="0" fontId="8" fillId="8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/>
    <xf numFmtId="0" fontId="8" fillId="8" borderId="6" xfId="0" quotePrefix="1" applyFont="1" applyFill="1" applyBorder="1" applyAlignment="1" applyProtection="1"/>
    <xf numFmtId="0" fontId="8" fillId="8" borderId="3" xfId="0" quotePrefix="1" applyFont="1" applyFill="1" applyBorder="1" applyAlignment="1" applyProtection="1"/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49" fontId="8" fillId="8" borderId="6" xfId="0" applyNumberFormat="1" applyFont="1" applyFill="1" applyBorder="1" applyAlignment="1" applyProtection="1">
      <alignment horizontal="left" wrapText="1"/>
    </xf>
    <xf numFmtId="49" fontId="8" fillId="8" borderId="3" xfId="0" applyNumberFormat="1" applyFont="1" applyFill="1" applyBorder="1" applyAlignment="1" applyProtection="1">
      <alignment horizontal="left" wrapText="1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F2DCDB"/>
      <color rgb="FF212121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81" t="s">
        <v>4</v>
      </c>
      <c r="E6" s="81"/>
      <c r="F6" s="81"/>
      <c r="G6" s="81"/>
      <c r="H6" s="3"/>
      <c r="I6" s="1"/>
    </row>
    <row r="7" spans="1:9" ht="15" customHeight="1" x14ac:dyDescent="0.25">
      <c r="A7" s="1"/>
      <c r="B7" s="1"/>
      <c r="C7" s="3"/>
      <c r="D7" s="81"/>
      <c r="E7" s="81"/>
      <c r="F7" s="81"/>
      <c r="G7" s="81"/>
      <c r="H7" s="3"/>
      <c r="I7" s="1"/>
    </row>
    <row r="8" spans="1:9" ht="15.75" x14ac:dyDescent="0.25">
      <c r="A8" s="1"/>
      <c r="B8" s="1"/>
      <c r="C8" s="4"/>
      <c r="D8" s="86" t="s">
        <v>285</v>
      </c>
      <c r="E8" s="86"/>
      <c r="F8" s="86"/>
      <c r="G8" s="86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85" t="s">
        <v>5</v>
      </c>
      <c r="E11" s="85"/>
      <c r="F11" s="85"/>
      <c r="G11" s="85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8" t="s">
        <v>245</v>
      </c>
      <c r="E13" s="79"/>
      <c r="F13" s="79"/>
      <c r="G13" s="80"/>
      <c r="H13" s="1"/>
      <c r="I13" s="1"/>
    </row>
    <row r="14" spans="1:9" x14ac:dyDescent="0.25">
      <c r="A14" s="1"/>
      <c r="B14" s="1"/>
      <c r="C14" s="6" t="s">
        <v>17</v>
      </c>
      <c r="D14" s="78" t="s">
        <v>246</v>
      </c>
      <c r="E14" s="79"/>
      <c r="F14" s="79"/>
      <c r="G14" s="80"/>
      <c r="H14" s="1"/>
      <c r="I14" s="1"/>
    </row>
    <row r="15" spans="1:9" x14ac:dyDescent="0.25">
      <c r="A15" s="1"/>
      <c r="B15" s="1"/>
      <c r="C15" s="6" t="s">
        <v>37</v>
      </c>
      <c r="D15" s="78" t="s">
        <v>160</v>
      </c>
      <c r="E15" s="79"/>
      <c r="F15" s="79"/>
      <c r="G15" s="80"/>
      <c r="H15" s="1"/>
      <c r="I15" s="1"/>
    </row>
    <row r="16" spans="1:9" x14ac:dyDescent="0.25">
      <c r="A16" s="1"/>
      <c r="B16" s="1"/>
      <c r="C16" s="6" t="s">
        <v>38</v>
      </c>
      <c r="D16" s="78" t="s">
        <v>247</v>
      </c>
      <c r="E16" s="79"/>
      <c r="F16" s="79"/>
      <c r="G16" s="80"/>
      <c r="H16" s="1"/>
      <c r="I16" s="1"/>
    </row>
    <row r="17" spans="1:9" x14ac:dyDescent="0.25">
      <c r="A17" s="1"/>
      <c r="B17" s="1"/>
      <c r="C17" s="6" t="s">
        <v>144</v>
      </c>
      <c r="D17" s="78" t="s">
        <v>248</v>
      </c>
      <c r="E17" s="79"/>
      <c r="F17" s="79"/>
      <c r="G17" s="80"/>
      <c r="H17" s="1"/>
      <c r="I17" s="1"/>
    </row>
    <row r="18" spans="1:9" x14ac:dyDescent="0.25">
      <c r="A18" s="1"/>
      <c r="B18" s="1"/>
      <c r="C18" s="6" t="s">
        <v>124</v>
      </c>
      <c r="D18" s="75" t="s">
        <v>110</v>
      </c>
      <c r="E18" s="76"/>
      <c r="F18" s="76"/>
      <c r="G18" s="77"/>
      <c r="H18" s="1"/>
      <c r="I18" s="1"/>
    </row>
    <row r="19" spans="1:9" x14ac:dyDescent="0.25">
      <c r="A19" s="1"/>
      <c r="B19" s="1"/>
      <c r="C19" s="6" t="s">
        <v>125</v>
      </c>
      <c r="D19" s="75" t="s">
        <v>111</v>
      </c>
      <c r="E19" s="76"/>
      <c r="F19" s="76"/>
      <c r="G19" s="77"/>
      <c r="H19" s="1"/>
      <c r="I19" s="1"/>
    </row>
    <row r="20" spans="1:9" x14ac:dyDescent="0.25">
      <c r="A20" s="1"/>
      <c r="B20" s="1"/>
      <c r="C20" s="6" t="s">
        <v>7</v>
      </c>
      <c r="D20" s="75" t="s">
        <v>10</v>
      </c>
      <c r="E20" s="76"/>
      <c r="F20" s="76"/>
      <c r="G20" s="77"/>
      <c r="H20" s="1"/>
      <c r="I20" s="1"/>
    </row>
    <row r="21" spans="1:9" x14ac:dyDescent="0.25">
      <c r="A21" s="1"/>
      <c r="B21" s="1"/>
      <c r="C21" s="6" t="s">
        <v>126</v>
      </c>
      <c r="D21" s="82" t="s">
        <v>13</v>
      </c>
      <c r="E21" s="83"/>
      <c r="F21" s="83"/>
      <c r="G21" s="84"/>
      <c r="H21" s="1"/>
      <c r="I21" s="1"/>
    </row>
    <row r="22" spans="1:9" x14ac:dyDescent="0.25">
      <c r="A22" s="1"/>
      <c r="B22" s="1"/>
      <c r="C22" s="6" t="s">
        <v>91</v>
      </c>
      <c r="D22" s="69" t="s">
        <v>249</v>
      </c>
      <c r="E22" s="70"/>
      <c r="F22" s="70"/>
      <c r="G22" s="71"/>
      <c r="H22" s="1"/>
      <c r="I22" s="1"/>
    </row>
    <row r="23" spans="1:9" x14ac:dyDescent="0.25">
      <c r="A23" s="1"/>
      <c r="B23" s="1"/>
      <c r="C23" s="6" t="s">
        <v>8</v>
      </c>
      <c r="D23" s="69" t="s">
        <v>195</v>
      </c>
      <c r="E23" s="70"/>
      <c r="F23" s="70"/>
      <c r="G23" s="71"/>
      <c r="H23" s="1"/>
      <c r="I23" s="1"/>
    </row>
    <row r="24" spans="1:9" x14ac:dyDescent="0.25">
      <c r="A24" s="1"/>
      <c r="B24" s="1"/>
      <c r="C24" s="6" t="s">
        <v>9</v>
      </c>
      <c r="D24" s="69" t="s">
        <v>39</v>
      </c>
      <c r="E24" s="70"/>
      <c r="F24" s="70"/>
      <c r="G24" s="71"/>
      <c r="H24" s="1"/>
      <c r="I24" s="1"/>
    </row>
    <row r="25" spans="1:9" x14ac:dyDescent="0.25">
      <c r="A25" s="1"/>
      <c r="B25" s="1"/>
      <c r="C25" s="6" t="s">
        <v>127</v>
      </c>
      <c r="D25" s="69" t="s">
        <v>92</v>
      </c>
      <c r="E25" s="70"/>
      <c r="F25" s="70"/>
      <c r="G25" s="71"/>
      <c r="H25" s="1"/>
      <c r="I25" s="1"/>
    </row>
    <row r="26" spans="1:9" x14ac:dyDescent="0.25">
      <c r="A26" s="1"/>
      <c r="B26" s="1"/>
      <c r="C26" s="6" t="s">
        <v>128</v>
      </c>
      <c r="D26" s="69" t="s">
        <v>93</v>
      </c>
      <c r="E26" s="70"/>
      <c r="F26" s="70"/>
      <c r="G26" s="71"/>
      <c r="H26" s="1"/>
      <c r="I26" s="1"/>
    </row>
    <row r="27" spans="1:9" x14ac:dyDescent="0.25">
      <c r="A27" s="1"/>
      <c r="B27" s="1"/>
      <c r="C27" s="6" t="s">
        <v>129</v>
      </c>
      <c r="D27" s="69" t="s">
        <v>94</v>
      </c>
      <c r="E27" s="70"/>
      <c r="F27" s="70"/>
      <c r="G27" s="71"/>
      <c r="H27" s="1"/>
      <c r="I27" s="1"/>
    </row>
    <row r="28" spans="1:9" x14ac:dyDescent="0.25">
      <c r="A28" s="1"/>
      <c r="B28" s="1"/>
      <c r="C28" s="6" t="s">
        <v>16</v>
      </c>
      <c r="D28" s="69" t="s">
        <v>161</v>
      </c>
      <c r="E28" s="70"/>
      <c r="F28" s="70"/>
      <c r="G28" s="71"/>
      <c r="H28" s="1"/>
      <c r="I28" s="1"/>
    </row>
    <row r="29" spans="1:9" x14ac:dyDescent="0.25">
      <c r="A29" s="1"/>
      <c r="B29" s="1"/>
      <c r="C29" s="6" t="s">
        <v>41</v>
      </c>
      <c r="D29" s="69" t="s">
        <v>40</v>
      </c>
      <c r="E29" s="70"/>
      <c r="F29" s="70"/>
      <c r="G29" s="71"/>
      <c r="H29" s="1"/>
      <c r="I29" s="1"/>
    </row>
    <row r="30" spans="1:9" x14ac:dyDescent="0.25">
      <c r="A30" s="1"/>
      <c r="B30" s="1"/>
      <c r="C30" s="6" t="s">
        <v>42</v>
      </c>
      <c r="D30" s="72" t="s">
        <v>123</v>
      </c>
      <c r="E30" s="73"/>
      <c r="F30" s="73"/>
      <c r="G30" s="74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jbASmKTRu4TmdPvnAuCcAfbMIMk9A0XJa4slOsqdwHceI7+uZZ376w85GNpTUUE/qOTrMf1J+BEdXgjOnnGtqQ==" saltValue="/zdAhawvjYJKxnZ6fAeU0g==" spinCount="100000" sheet="1" objects="1" scenarios="1"/>
  <mergeCells count="21">
    <mergeCell ref="D14:G14"/>
    <mergeCell ref="D6:G7"/>
    <mergeCell ref="D21:G21"/>
    <mergeCell ref="D22:G22"/>
    <mergeCell ref="D11:G11"/>
    <mergeCell ref="D8:G8"/>
    <mergeCell ref="D15:G15"/>
    <mergeCell ref="D16:G16"/>
    <mergeCell ref="D19:G19"/>
    <mergeCell ref="D13:G13"/>
    <mergeCell ref="D17:G17"/>
    <mergeCell ref="D20:G20"/>
    <mergeCell ref="D29:G29"/>
    <mergeCell ref="D30:G30"/>
    <mergeCell ref="D18:G18"/>
    <mergeCell ref="D24:G24"/>
    <mergeCell ref="D25:G25"/>
    <mergeCell ref="D28:G28"/>
    <mergeCell ref="D26:G26"/>
    <mergeCell ref="D27:G27"/>
    <mergeCell ref="D23:G23"/>
  </mergeCells>
  <hyperlinks>
    <hyperlink ref="D14:G14" location="'Fane 2.2. Økonomisk ramme 2023'!A1" display="Samlet økonomisk ramme for 2022"/>
    <hyperlink ref="D25:G25" location="'Fane 10.1. Varige tillæg'!A1" display="Varige tillæg"/>
    <hyperlink ref="D28:G28" location="'Fane 12. Tilknyttet virksomhed'!A1" display="Tilknyttet virksomhed"/>
    <hyperlink ref="D29:G29" location="'Fane 13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22:G22" location="'Fane 7. Kontrol af ØR2020'!A1" display="Kontrol af den økonomiske ramme for 2019"/>
    <hyperlink ref="D24:G24" location="'Fane 9. Anlægsprojekter'!A1" display="Anlægsprojekter"/>
    <hyperlink ref="D30:G30" location="'Fane 14. Nøgletal'!A1" display="Nøgletal"/>
    <hyperlink ref="D17:G17" location="'Fane 3. Omkostninger i ØR2021'!A1" display="Omkostninger i ØR2020"/>
    <hyperlink ref="D26:G26" location="'Fane 10.2. Engangstillæg'!A1" display="Engangstillæg"/>
    <hyperlink ref="D27:G27" location="'Fane 11. Periodevise driftsomk.'!A1" display="Periodevise driftsomkostninger"/>
    <hyperlink ref="D23:G23" location="'Fane 8. Korrektion af ØR2020'!A1" display="Korrektion af den økonomiske ramme for 2020"/>
    <hyperlink ref="D21:G21" location="'Fane 6. Ikke-påvirkelige omk.'!A1" display="Ikke-påvirkelige omkostninger"/>
    <hyperlink ref="D18:G18" location="'Fane 4.1. Gen. krav - drift'!A1" display="Generelt effektiviseringskrav på drift"/>
    <hyperlink ref="D20:G20" location="'Fane 5. Individuelt eff. krav'!A1" display="Individuelt effektiviseringskrav"/>
    <hyperlink ref="D19:G19" location="'Fane 4.2. Gen. krav - anlæg'!A1" display="Generelt effektiviseringskrav på anlæg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8.5703125" style="2" customWidth="1"/>
    <col min="3" max="3" width="12.5703125" style="2" customWidth="1"/>
    <col min="4" max="4" width="2.85546875" style="2" bestFit="1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194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x14ac:dyDescent="0.25">
      <c r="A9" s="1"/>
      <c r="B9" s="33" t="s">
        <v>260</v>
      </c>
      <c r="C9" s="7">
        <f>'Fane 3. Omkostninger i ØR2021'!E20</f>
        <v>42013439.830088221</v>
      </c>
      <c r="D9" s="8" t="s">
        <v>3</v>
      </c>
      <c r="E9" s="1"/>
    </row>
    <row r="10" spans="1:5" ht="17.100000000000001" customHeight="1" x14ac:dyDescent="0.25">
      <c r="A10" s="1"/>
      <c r="B10" s="53" t="s">
        <v>43</v>
      </c>
      <c r="C10" s="7">
        <f>'Fane 10.1. Varige tillæg'!C14</f>
        <v>212295.27010000002</v>
      </c>
      <c r="D10" s="8" t="s">
        <v>3</v>
      </c>
      <c r="E10" s="1"/>
    </row>
    <row r="11" spans="1:5" ht="17.100000000000001" customHeight="1" x14ac:dyDescent="0.25">
      <c r="A11" s="1"/>
      <c r="B11" s="53" t="s">
        <v>44</v>
      </c>
      <c r="C11" s="9">
        <f>'Fane 10.1. Varige tillæg'!E14</f>
        <v>1267260.2036000001</v>
      </c>
      <c r="D11" s="8" t="s">
        <v>3</v>
      </c>
      <c r="E11" s="1"/>
    </row>
    <row r="12" spans="1:5" ht="17.100000000000001" customHeight="1" x14ac:dyDescent="0.25">
      <c r="A12" s="1"/>
      <c r="B12" s="53" t="s">
        <v>29</v>
      </c>
      <c r="C12" s="9">
        <f>-'Fane 13.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53" t="s">
        <v>28</v>
      </c>
      <c r="C13" s="9">
        <f>-'Fane 13.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53" t="s">
        <v>149</v>
      </c>
      <c r="C14" s="9">
        <f>'Fane 12. Tilknyttet virksomhed'!C12</f>
        <v>0</v>
      </c>
      <c r="D14" s="8" t="s">
        <v>3</v>
      </c>
      <c r="E14" s="1"/>
    </row>
    <row r="15" spans="1:5" ht="17.100000000000001" customHeight="1" x14ac:dyDescent="0.25">
      <c r="A15" s="1"/>
      <c r="B15" s="53" t="s">
        <v>150</v>
      </c>
      <c r="C15" s="9">
        <f>'Fane 12. Tilknyttet virksomhed'!E12</f>
        <v>0</v>
      </c>
      <c r="D15" s="8" t="s">
        <v>3</v>
      </c>
      <c r="E15" s="1"/>
    </row>
    <row r="16" spans="1:5" ht="17.100000000000001" customHeight="1" x14ac:dyDescent="0.25">
      <c r="A16" s="1"/>
      <c r="B16" s="53" t="s">
        <v>20</v>
      </c>
      <c r="C16" s="9">
        <f>SUM(C9:C15)*'Fane 14. Nøgletal'!C14</f>
        <v>143526.88450250111</v>
      </c>
      <c r="D16" s="8" t="s">
        <v>3</v>
      </c>
      <c r="E16" s="1"/>
    </row>
    <row r="17" spans="1:5" ht="17.100000000000001" customHeight="1" x14ac:dyDescent="0.25">
      <c r="A17" s="1"/>
      <c r="B17" s="53" t="s">
        <v>10</v>
      </c>
      <c r="C17" s="9">
        <f>-SUM(C9:C16)*'Fane 5. Individuelt eff. krav'!G12</f>
        <v>-357645.63522204</v>
      </c>
      <c r="D17" s="8" t="s">
        <v>3</v>
      </c>
      <c r="E17" s="1"/>
    </row>
    <row r="18" spans="1:5" ht="17.100000000000001" customHeight="1" x14ac:dyDescent="0.25">
      <c r="A18" s="1"/>
      <c r="B18" s="53" t="s">
        <v>26</v>
      </c>
      <c r="C18" s="9">
        <f>-'Fane 4.1. Gen. krav - drift'!G39</f>
        <v>-304231.01171667007</v>
      </c>
      <c r="D18" s="8" t="s">
        <v>3</v>
      </c>
      <c r="E18" s="1"/>
    </row>
    <row r="19" spans="1:5" ht="17.100000000000001" customHeight="1" x14ac:dyDescent="0.25">
      <c r="A19" s="1"/>
      <c r="B19" s="53" t="s">
        <v>27</v>
      </c>
      <c r="C19" s="9">
        <f>-'Fane 4.2. Gen. krav - anlæg'!G37</f>
        <v>-473421.01809470821</v>
      </c>
      <c r="D19" s="8" t="s">
        <v>3</v>
      </c>
      <c r="E19" s="1"/>
    </row>
    <row r="20" spans="1:5" ht="17.100000000000001" customHeight="1" x14ac:dyDescent="0.25">
      <c r="A20" s="1"/>
      <c r="B20" s="59" t="s">
        <v>22</v>
      </c>
      <c r="C20" s="10">
        <f>SUM(C9:C19)</f>
        <v>42501224.523257293</v>
      </c>
      <c r="D20" s="11" t="s">
        <v>3</v>
      </c>
      <c r="E20" s="1"/>
    </row>
    <row r="21" spans="1:5" ht="15" customHeight="1" x14ac:dyDescent="0.25">
      <c r="A21" s="1"/>
      <c r="B21" s="38" t="s">
        <v>13</v>
      </c>
      <c r="C21" s="32"/>
      <c r="D21" s="20"/>
      <c r="E21" s="1"/>
    </row>
    <row r="22" spans="1:5" ht="15" customHeight="1" x14ac:dyDescent="0.25">
      <c r="A22" s="1"/>
      <c r="B22" s="36" t="s">
        <v>13</v>
      </c>
      <c r="C22" s="10">
        <f>'Fane 6. Ikke-påvirkelige omk.'!C16+'Fane 6. Ikke-påvirkelige omk.'!C20+'Fane 6. Ikke-påvirkelige omk.'!C28</f>
        <v>1704450.1394531601</v>
      </c>
      <c r="D22" s="11" t="s">
        <v>3</v>
      </c>
      <c r="E22" s="1"/>
    </row>
    <row r="23" spans="1:5" ht="15" customHeight="1" x14ac:dyDescent="0.25">
      <c r="A23" s="1"/>
      <c r="B23" s="38" t="s">
        <v>94</v>
      </c>
      <c r="C23" s="32"/>
      <c r="D23" s="20"/>
      <c r="E23" s="1"/>
    </row>
    <row r="24" spans="1:5" ht="15" customHeight="1" x14ac:dyDescent="0.25">
      <c r="A24" s="1"/>
      <c r="B24" s="59" t="s">
        <v>94</v>
      </c>
      <c r="C24" s="10">
        <f>'Fane 11. Periodevise driftsomk.'!E12</f>
        <v>0</v>
      </c>
      <c r="D24" s="11" t="s">
        <v>3</v>
      </c>
      <c r="E24" s="1"/>
    </row>
    <row r="25" spans="1:5" ht="15" customHeight="1" x14ac:dyDescent="0.25">
      <c r="A25" s="1"/>
      <c r="B25" s="38" t="s">
        <v>93</v>
      </c>
      <c r="C25" s="32"/>
      <c r="D25" s="20"/>
      <c r="E25" s="1"/>
    </row>
    <row r="26" spans="1:5" ht="15" customHeight="1" x14ac:dyDescent="0.25">
      <c r="A26" s="1"/>
      <c r="B26" s="53" t="s">
        <v>89</v>
      </c>
      <c r="C26" s="9">
        <f>'Fane 10.2. Engangstillæg'!C14</f>
        <v>0</v>
      </c>
      <c r="D26" s="8" t="s">
        <v>3</v>
      </c>
      <c r="E26" s="1"/>
    </row>
    <row r="27" spans="1:5" ht="15" customHeight="1" x14ac:dyDescent="0.25">
      <c r="A27" s="1"/>
      <c r="B27" s="53" t="s">
        <v>90</v>
      </c>
      <c r="C27" s="9">
        <f>'Fane 10.2. Engangstillæg'!E14</f>
        <v>0</v>
      </c>
      <c r="D27" s="8" t="s">
        <v>3</v>
      </c>
      <c r="E27" s="1"/>
    </row>
    <row r="28" spans="1:5" x14ac:dyDescent="0.25">
      <c r="A28" s="1"/>
      <c r="B28" s="59" t="s">
        <v>95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38" t="s">
        <v>187</v>
      </c>
      <c r="C29" s="32"/>
      <c r="D29" s="20"/>
      <c r="E29" s="1"/>
    </row>
    <row r="30" spans="1:5" x14ac:dyDescent="0.25">
      <c r="A30" s="1"/>
      <c r="B30" s="36" t="s">
        <v>286</v>
      </c>
      <c r="C30" s="10">
        <f>'Fane 7. Kontrol af ØR2020'!E34</f>
        <v>0</v>
      </c>
      <c r="D30" s="11" t="s">
        <v>3</v>
      </c>
      <c r="E30" s="1"/>
    </row>
    <row r="31" spans="1:5" ht="15" customHeight="1" x14ac:dyDescent="0.25">
      <c r="A31" s="1"/>
      <c r="B31" s="38" t="s">
        <v>195</v>
      </c>
      <c r="C31" s="32"/>
      <c r="D31" s="20"/>
      <c r="E31" s="1"/>
    </row>
    <row r="32" spans="1:5" x14ac:dyDescent="0.25">
      <c r="A32" s="1"/>
      <c r="B32" s="36" t="s">
        <v>195</v>
      </c>
      <c r="C32" s="10">
        <f>'Fane 8. Korrektion af ØR2020'!E17</f>
        <v>-739675</v>
      </c>
      <c r="D32" s="11" t="s">
        <v>3</v>
      </c>
      <c r="E32" s="1"/>
    </row>
    <row r="33" spans="1:5" x14ac:dyDescent="0.25">
      <c r="A33" s="1"/>
      <c r="B33" s="35" t="s">
        <v>258</v>
      </c>
      <c r="C33" s="32"/>
      <c r="D33" s="20"/>
      <c r="E33" s="1"/>
    </row>
    <row r="34" spans="1:5" x14ac:dyDescent="0.25">
      <c r="A34" s="1"/>
      <c r="B34" s="66" t="s">
        <v>259</v>
      </c>
      <c r="C34" s="10">
        <v>0</v>
      </c>
      <c r="D34" s="11" t="s">
        <v>3</v>
      </c>
      <c r="E34" s="1"/>
    </row>
    <row r="35" spans="1:5" x14ac:dyDescent="0.25">
      <c r="A35" s="1"/>
      <c r="B35" s="38" t="s">
        <v>32</v>
      </c>
      <c r="C35" s="34">
        <f>SUM(C32,C30,C28,C24,C22,C20)</f>
        <v>43465999.662710451</v>
      </c>
      <c r="D35" s="35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zKILSmOQI1ZdEf3xBG25nw0pepz7e9meAxrduwpYXC4WkNzazhc0gGLt+yGE7sv6yCEqu93TGPB5jOkKCEQS0w==" saltValue="s7P/xgHxgt0+mAA8lnlQlg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0.85546875" style="2" customWidth="1"/>
    <col min="3" max="3" width="12.2851562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196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/>
      <c r="C5" s="88"/>
      <c r="D5" s="88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151</v>
      </c>
      <c r="C9" s="7">
        <f>'Fane 2.1. Økonomisk ramme 2022'!C20</f>
        <v>42501224.523257293</v>
      </c>
      <c r="D9" s="8" t="s">
        <v>3</v>
      </c>
      <c r="E9" s="1"/>
    </row>
    <row r="10" spans="1:5" ht="15" customHeight="1" x14ac:dyDescent="0.25">
      <c r="A10" s="1"/>
      <c r="B10" s="53" t="s">
        <v>29</v>
      </c>
      <c r="C10" s="7">
        <f>-'Fane 13. Bortfald'!C18</f>
        <v>0</v>
      </c>
      <c r="D10" s="8" t="s">
        <v>3</v>
      </c>
      <c r="E10" s="1"/>
    </row>
    <row r="11" spans="1:5" ht="15" customHeight="1" x14ac:dyDescent="0.25">
      <c r="A11" s="1"/>
      <c r="B11" s="53" t="s">
        <v>28</v>
      </c>
      <c r="C11" s="7">
        <f>-'Fane 13. Bortfald'!E18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140254.04092674906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-349490.24173120019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drift'!G46</f>
        <v>-299130.27457422845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anlæg'!G44</f>
        <v>-467953.55450409534</v>
      </c>
      <c r="D15" s="8" t="s">
        <v>3</v>
      </c>
      <c r="E15" s="1"/>
    </row>
    <row r="16" spans="1:5" ht="15" customHeight="1" x14ac:dyDescent="0.25">
      <c r="A16" s="1"/>
      <c r="B16" s="31" t="s">
        <v>22</v>
      </c>
      <c r="C16" s="10">
        <f>SUM(C9:C15)</f>
        <v>41524904.493374519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omk.'!C16*(1+'Fane 14. Nøgletal'!C14)+'Fane 6. Ikke-påvirkelige omk.'!C21+'Fane 6. Ikke-påvirkelige omk.'!C29</f>
        <v>1707893.6800133556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driftsomk.'!E18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Engangstillæg'!C22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Engangstillæg'!E22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8" t="s">
        <v>187</v>
      </c>
      <c r="C25" s="32"/>
      <c r="D25" s="20"/>
      <c r="E25" s="1"/>
    </row>
    <row r="26" spans="1:5" ht="15" customHeight="1" x14ac:dyDescent="0.25">
      <c r="A26" s="1"/>
      <c r="B26" s="36" t="s">
        <v>286</v>
      </c>
      <c r="C26" s="10">
        <f>'Fane 7. Kontrol af ØR2020'!E34</f>
        <v>0</v>
      </c>
      <c r="D26" s="11" t="s">
        <v>3</v>
      </c>
      <c r="E26" s="1"/>
    </row>
    <row r="27" spans="1:5" x14ac:dyDescent="0.25">
      <c r="A27" s="1"/>
      <c r="B27" s="35" t="s">
        <v>258</v>
      </c>
      <c r="C27" s="32"/>
      <c r="D27" s="20"/>
      <c r="E27" s="1"/>
    </row>
    <row r="28" spans="1:5" x14ac:dyDescent="0.25">
      <c r="A28" s="1"/>
      <c r="B28" s="66" t="s">
        <v>259</v>
      </c>
      <c r="C28" s="10">
        <v>0</v>
      </c>
      <c r="D28" s="11" t="s">
        <v>3</v>
      </c>
      <c r="E28" s="1"/>
    </row>
    <row r="29" spans="1:5" x14ac:dyDescent="0.25">
      <c r="A29" s="1"/>
      <c r="B29" s="38" t="s">
        <v>102</v>
      </c>
      <c r="C29" s="12">
        <f>SUM(C16,C18,C20,C24,C26,C28)</f>
        <v>43232798.173387878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RAGOKkw7WKUOp2uKlHHebiUcJ2j077+XyVcSmCBXHk0jKkIRBxU4p9QR3ZtpMRO9gZb2L3YMiXZy90t+NY2FmA==" saltValue="EjtURzbBY8YRm/PLiIDAL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1406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197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52"/>
      <c r="C6" s="52"/>
      <c r="D6" s="52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152</v>
      </c>
      <c r="C9" s="7">
        <f>'Fane 2.2. Økonomisk ramme 2023'!C16</f>
        <v>41524904.493374519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Bortfald'!C24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Bortfald'!E24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137032.18482813591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-341461.90073448315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drift'!G54</f>
        <v>-294115.05639071699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anlæg'!G55</f>
        <v>-462549.23377569631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40563810.487301752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omk.'!C16*(1+'Fane 14. Nøgletal'!C14)^2+'Fane 6. Ikke-påvirkelige omk.'!C22+'Fane 6. Ikke-påvirkelige omk.'!C30</f>
        <v>1050395.5842573997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driftsomk.'!E24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Engangstillæg'!C30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Engangstillæg'!E30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6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153</v>
      </c>
      <c r="C27" s="12">
        <f>SUM(C16,C18,C20,C24,C26)</f>
        <v>41614206.071559153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9ajh9TNpjd6FAwzj4lCkMmOtaBmizAj2NlQ+heQMSxjJ3+RPShVk5DqnWBQxC6aro+smAhM9juk32rxqORGWjQ==" saltValue="N+RB+3J920uLpRrE6Lnn/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570312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7" t="s">
        <v>198</v>
      </c>
      <c r="C3" s="87"/>
      <c r="D3" s="87"/>
      <c r="E3" s="1"/>
    </row>
    <row r="4" spans="1:5" ht="15" customHeight="1" x14ac:dyDescent="0.25">
      <c r="A4" s="1"/>
      <c r="B4" s="87"/>
      <c r="C4" s="87"/>
      <c r="D4" s="87"/>
      <c r="E4" s="1"/>
    </row>
    <row r="5" spans="1:5" x14ac:dyDescent="0.25">
      <c r="A5" s="1"/>
      <c r="B5" s="88" t="s">
        <v>23</v>
      </c>
      <c r="C5" s="88"/>
      <c r="D5" s="88"/>
      <c r="E5" s="1"/>
    </row>
    <row r="6" spans="1:5" x14ac:dyDescent="0.25">
      <c r="A6" s="1"/>
      <c r="B6" s="52"/>
      <c r="C6" s="52"/>
      <c r="D6" s="52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8" t="s">
        <v>14</v>
      </c>
      <c r="C8" s="32"/>
      <c r="D8" s="20"/>
      <c r="E8" s="1"/>
    </row>
    <row r="9" spans="1:5" ht="15" customHeight="1" x14ac:dyDescent="0.25">
      <c r="A9" s="1"/>
      <c r="B9" s="33" t="s">
        <v>199</v>
      </c>
      <c r="C9" s="7">
        <f>'Fane 2.3. Økonomisk ramme 2024'!C16</f>
        <v>40563810.487301752</v>
      </c>
      <c r="D9" s="8" t="s">
        <v>3</v>
      </c>
      <c r="E9" s="1"/>
    </row>
    <row r="10" spans="1:5" ht="15" customHeight="1" x14ac:dyDescent="0.25">
      <c r="A10" s="1"/>
      <c r="B10" s="33" t="s">
        <v>29</v>
      </c>
      <c r="C10" s="7">
        <f>-'Fane 13. Bortfald'!C30</f>
        <v>0</v>
      </c>
      <c r="D10" s="8" t="s">
        <v>3</v>
      </c>
      <c r="E10" s="1"/>
    </row>
    <row r="11" spans="1:5" ht="15" customHeight="1" x14ac:dyDescent="0.25">
      <c r="A11" s="1"/>
      <c r="B11" s="33" t="s">
        <v>28</v>
      </c>
      <c r="C11" s="7">
        <f>-'Fane 13. Bortfald'!E30</f>
        <v>0</v>
      </c>
      <c r="D11" s="8" t="s">
        <v>3</v>
      </c>
      <c r="E11" s="1"/>
    </row>
    <row r="12" spans="1:5" ht="15" customHeight="1" x14ac:dyDescent="0.25">
      <c r="A12" s="1"/>
      <c r="B12" s="30" t="s">
        <v>20</v>
      </c>
      <c r="C12" s="9">
        <f>SUM(C9:C11)*'Fane 14. Nøgletal'!C14</f>
        <v>133860.57460809578</v>
      </c>
      <c r="D12" s="8" t="s">
        <v>3</v>
      </c>
      <c r="E12" s="1"/>
    </row>
    <row r="13" spans="1:5" ht="15" customHeight="1" x14ac:dyDescent="0.25">
      <c r="A13" s="1"/>
      <c r="B13" s="30" t="s">
        <v>10</v>
      </c>
      <c r="C13" s="9">
        <f>-SUM(C9:C12)*'Fane 5. Individuelt eff. krav'!G12</f>
        <v>-333558.76428896794</v>
      </c>
      <c r="D13" s="8" t="s">
        <v>3</v>
      </c>
      <c r="E13" s="1"/>
    </row>
    <row r="14" spans="1:5" ht="15" customHeight="1" x14ac:dyDescent="0.25">
      <c r="A14" s="1"/>
      <c r="B14" s="30" t="s">
        <v>26</v>
      </c>
      <c r="C14" s="9">
        <f>-'Fane 4.1. Gen. krav - drift'!G60</f>
        <v>-289183.92335527024</v>
      </c>
      <c r="D14" s="8" t="s">
        <v>3</v>
      </c>
      <c r="E14" s="1"/>
    </row>
    <row r="15" spans="1:5" ht="15" customHeight="1" x14ac:dyDescent="0.25">
      <c r="A15" s="1"/>
      <c r="B15" s="30" t="s">
        <v>27</v>
      </c>
      <c r="C15" s="9">
        <f>-'Fane 4.2. Gen. krav - anlæg'!G61</f>
        <v>-457207.32668269821</v>
      </c>
      <c r="D15" s="8" t="s">
        <v>3</v>
      </c>
      <c r="E15" s="1"/>
    </row>
    <row r="16" spans="1:5" x14ac:dyDescent="0.25">
      <c r="A16" s="1"/>
      <c r="B16" s="31" t="s">
        <v>22</v>
      </c>
      <c r="C16" s="10">
        <f>SUM(C9:C15)</f>
        <v>39617721.047582902</v>
      </c>
      <c r="D16" s="11" t="s">
        <v>3</v>
      </c>
      <c r="E16" s="1"/>
    </row>
    <row r="17" spans="1:5" x14ac:dyDescent="0.25">
      <c r="A17" s="1"/>
      <c r="B17" s="38" t="s">
        <v>13</v>
      </c>
      <c r="C17" s="32"/>
      <c r="D17" s="20"/>
      <c r="E17" s="1"/>
    </row>
    <row r="18" spans="1:5" ht="15" customHeight="1" x14ac:dyDescent="0.25">
      <c r="A18" s="1"/>
      <c r="B18" s="36" t="s">
        <v>13</v>
      </c>
      <c r="C18" s="10">
        <f>'Fane 6. Ikke-påvirkelige omk.'!C16*(1+'Fane 14. Nøgletal'!C14)^3+'Fane 6. Ikke-påvirkelige omk.'!C23+'Fane 6. Ikke-påvirkelige omk.'!C31</f>
        <v>1053861.8896854492</v>
      </c>
      <c r="D18" s="11" t="s">
        <v>3</v>
      </c>
      <c r="E18" s="1"/>
    </row>
    <row r="19" spans="1:5" ht="15" customHeight="1" x14ac:dyDescent="0.25">
      <c r="A19" s="1"/>
      <c r="B19" s="38" t="s">
        <v>94</v>
      </c>
      <c r="C19" s="32"/>
      <c r="D19" s="20"/>
      <c r="E19" s="1"/>
    </row>
    <row r="20" spans="1:5" ht="15" customHeight="1" x14ac:dyDescent="0.25">
      <c r="A20" s="1"/>
      <c r="B20" s="59" t="s">
        <v>94</v>
      </c>
      <c r="C20" s="10">
        <f>'Fane 11. Periodevise driftsomk.'!E30</f>
        <v>0</v>
      </c>
      <c r="D20" s="11" t="s">
        <v>3</v>
      </c>
      <c r="E20" s="1"/>
    </row>
    <row r="21" spans="1:5" ht="15" customHeight="1" x14ac:dyDescent="0.25">
      <c r="A21" s="1"/>
      <c r="B21" s="38" t="s">
        <v>93</v>
      </c>
      <c r="C21" s="32"/>
      <c r="D21" s="20"/>
      <c r="E21" s="1"/>
    </row>
    <row r="22" spans="1:5" ht="15" customHeight="1" x14ac:dyDescent="0.25">
      <c r="A22" s="1"/>
      <c r="B22" s="53" t="s">
        <v>89</v>
      </c>
      <c r="C22" s="9">
        <f>'Fane 10.2. Engangstillæg'!C38</f>
        <v>0</v>
      </c>
      <c r="D22" s="8" t="s">
        <v>3</v>
      </c>
      <c r="E22" s="1"/>
    </row>
    <row r="23" spans="1:5" ht="15" customHeight="1" x14ac:dyDescent="0.25">
      <c r="A23" s="1"/>
      <c r="B23" s="53" t="s">
        <v>90</v>
      </c>
      <c r="C23" s="9">
        <f>'Fane 10.2. Engangstillæg'!E38</f>
        <v>0</v>
      </c>
      <c r="D23" s="8" t="s">
        <v>3</v>
      </c>
      <c r="E23" s="1"/>
    </row>
    <row r="24" spans="1:5" ht="15" customHeight="1" x14ac:dyDescent="0.25">
      <c r="A24" s="1"/>
      <c r="B24" s="59" t="s">
        <v>95</v>
      </c>
      <c r="C24" s="10">
        <f>SUM(C22:C23)</f>
        <v>0</v>
      </c>
      <c r="D24" s="11" t="s">
        <v>3</v>
      </c>
      <c r="E24" s="1"/>
    </row>
    <row r="25" spans="1:5" x14ac:dyDescent="0.25">
      <c r="A25" s="1"/>
      <c r="B25" s="35" t="s">
        <v>258</v>
      </c>
      <c r="C25" s="32"/>
      <c r="D25" s="20"/>
      <c r="E25" s="1"/>
    </row>
    <row r="26" spans="1:5" x14ac:dyDescent="0.25">
      <c r="A26" s="1"/>
      <c r="B26" s="66" t="s">
        <v>259</v>
      </c>
      <c r="C26" s="10">
        <v>0</v>
      </c>
      <c r="D26" s="11" t="s">
        <v>3</v>
      </c>
      <c r="E26" s="1"/>
    </row>
    <row r="27" spans="1:5" x14ac:dyDescent="0.25">
      <c r="A27" s="1"/>
      <c r="B27" s="38" t="s">
        <v>200</v>
      </c>
      <c r="C27" s="12">
        <f>SUM(C16,C18,C20,C24,C26)</f>
        <v>40671582.937268354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</sheetData>
  <sheetProtection algorithmName="SHA-512" hashValue="plIDu2bw++n1iG94/SZN5GhwtkYi7FEOqKIxBlHkDlDuJhJTRcqpDtd2N900i488olzVbGUgGaONfQkSATJqcA==" saltValue="TtzOZe7Bmki7QMFKe5SaR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2" width="12.28515625" style="2" customWidth="1"/>
    <col min="3" max="3" width="12" style="2" customWidth="1"/>
    <col min="4" max="4" width="31.7109375" style="2" customWidth="1"/>
    <col min="5" max="5" width="10.85546875" style="2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250</v>
      </c>
      <c r="C3" s="92"/>
      <c r="D3" s="92"/>
      <c r="E3" s="92"/>
      <c r="F3" s="92"/>
      <c r="G3" s="1"/>
    </row>
    <row r="4" spans="1:7" ht="29.2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278</v>
      </c>
      <c r="C8" s="32"/>
      <c r="D8" s="32"/>
      <c r="E8" s="32"/>
      <c r="F8" s="20"/>
      <c r="G8" s="1"/>
    </row>
    <row r="9" spans="1:7" ht="15" customHeight="1" x14ac:dyDescent="0.25">
      <c r="A9" s="1"/>
      <c r="B9" s="89" t="s">
        <v>25</v>
      </c>
      <c r="C9" s="90"/>
      <c r="D9" s="91"/>
      <c r="E9" s="7">
        <v>42772998.530021638</v>
      </c>
      <c r="F9" s="8" t="s">
        <v>3</v>
      </c>
      <c r="G9" s="1"/>
    </row>
    <row r="10" spans="1:7" ht="15" customHeight="1" x14ac:dyDescent="0.25">
      <c r="A10" s="1"/>
      <c r="B10" s="93" t="s">
        <v>43</v>
      </c>
      <c r="C10" s="94"/>
      <c r="D10" s="95"/>
      <c r="E10" s="7">
        <v>37340.057999999997</v>
      </c>
      <c r="F10" s="8" t="s">
        <v>3</v>
      </c>
      <c r="G10" s="1"/>
    </row>
    <row r="11" spans="1:7" ht="15" customHeight="1" x14ac:dyDescent="0.25">
      <c r="A11" s="1"/>
      <c r="B11" s="93" t="s">
        <v>44</v>
      </c>
      <c r="C11" s="94"/>
      <c r="D11" s="95"/>
      <c r="E11" s="9">
        <v>436165.07760000002</v>
      </c>
      <c r="F11" s="8" t="s">
        <v>3</v>
      </c>
      <c r="G11" s="1"/>
    </row>
    <row r="12" spans="1:7" ht="15" customHeight="1" x14ac:dyDescent="0.25">
      <c r="A12" s="1"/>
      <c r="B12" s="93" t="s">
        <v>29</v>
      </c>
      <c r="C12" s="94"/>
      <c r="D12" s="95"/>
      <c r="E12" s="9">
        <v>0</v>
      </c>
      <c r="F12" s="8" t="s">
        <v>3</v>
      </c>
      <c r="G12" s="1"/>
    </row>
    <row r="13" spans="1:7" ht="15" customHeight="1" x14ac:dyDescent="0.25">
      <c r="A13" s="1"/>
      <c r="B13" s="89" t="s">
        <v>28</v>
      </c>
      <c r="C13" s="90"/>
      <c r="D13" s="91"/>
      <c r="E13" s="9">
        <v>0</v>
      </c>
      <c r="F13" s="8" t="s">
        <v>3</v>
      </c>
      <c r="G13" s="1"/>
    </row>
    <row r="14" spans="1:7" ht="15" customHeight="1" x14ac:dyDescent="0.25">
      <c r="A14" s="1"/>
      <c r="B14" s="89" t="s">
        <v>31</v>
      </c>
      <c r="C14" s="90"/>
      <c r="D14" s="91"/>
      <c r="E14" s="9">
        <v>0</v>
      </c>
      <c r="F14" s="8" t="s">
        <v>3</v>
      </c>
      <c r="G14" s="1"/>
    </row>
    <row r="15" spans="1:7" ht="15" customHeight="1" x14ac:dyDescent="0.25">
      <c r="A15" s="1"/>
      <c r="B15" s="89" t="s">
        <v>30</v>
      </c>
      <c r="C15" s="90"/>
      <c r="D15" s="91"/>
      <c r="E15" s="9">
        <v>0</v>
      </c>
      <c r="F15" s="8" t="s">
        <v>3</v>
      </c>
      <c r="G15" s="1"/>
    </row>
    <row r="16" spans="1:7" ht="15" customHeight="1" x14ac:dyDescent="0.25">
      <c r="A16" s="1"/>
      <c r="B16" s="89" t="s">
        <v>20</v>
      </c>
      <c r="C16" s="90"/>
      <c r="D16" s="91"/>
      <c r="E16" s="9">
        <v>848404.83369574614</v>
      </c>
      <c r="F16" s="8" t="s">
        <v>3</v>
      </c>
      <c r="G16" s="1"/>
    </row>
    <row r="17" spans="1:7" ht="15" customHeight="1" x14ac:dyDescent="0.25">
      <c r="A17" s="1"/>
      <c r="B17" s="89" t="s">
        <v>10</v>
      </c>
      <c r="C17" s="90"/>
      <c r="D17" s="91"/>
      <c r="E17" s="9">
        <v>-881898.16998634767</v>
      </c>
      <c r="F17" s="8" t="s">
        <v>3</v>
      </c>
      <c r="G17" s="1"/>
    </row>
    <row r="18" spans="1:7" ht="15" customHeight="1" x14ac:dyDescent="0.25">
      <c r="A18" s="1"/>
      <c r="B18" s="89" t="s">
        <v>26</v>
      </c>
      <c r="C18" s="90"/>
      <c r="D18" s="91"/>
      <c r="E18" s="9">
        <f>-'Fane 4.1. Gen. krav - drift'!G33</f>
        <v>-305086.16954544227</v>
      </c>
      <c r="F18" s="8" t="s">
        <v>3</v>
      </c>
      <c r="G18" s="1"/>
    </row>
    <row r="19" spans="1:7" ht="15" customHeight="1" x14ac:dyDescent="0.25">
      <c r="A19" s="1"/>
      <c r="B19" s="89" t="s">
        <v>27</v>
      </c>
      <c r="C19" s="90"/>
      <c r="D19" s="91"/>
      <c r="E19" s="9">
        <f>-'Fane 4.2. Gen. krav - anlæg'!G31</f>
        <v>-894484.32969737542</v>
      </c>
      <c r="F19" s="8" t="s">
        <v>3</v>
      </c>
      <c r="G19" s="1"/>
    </row>
    <row r="20" spans="1:7" ht="15" customHeight="1" x14ac:dyDescent="0.25">
      <c r="A20" s="1"/>
      <c r="B20" s="59" t="s">
        <v>22</v>
      </c>
      <c r="C20" s="60"/>
      <c r="D20" s="67"/>
      <c r="E20" s="10">
        <f>SUM(E9:E19)</f>
        <v>42013439.830088221</v>
      </c>
      <c r="F20" s="11" t="s">
        <v>3</v>
      </c>
      <c r="G20" s="1"/>
    </row>
    <row r="21" spans="1:7" ht="15" customHeight="1" x14ac:dyDescent="0.25">
      <c r="A21" s="1"/>
      <c r="B21" s="38" t="s">
        <v>13</v>
      </c>
      <c r="C21" s="32"/>
      <c r="D21" s="32"/>
      <c r="E21" s="32"/>
      <c r="F21" s="20"/>
      <c r="G21" s="1"/>
    </row>
    <row r="22" spans="1:7" ht="15" customHeight="1" x14ac:dyDescent="0.25">
      <c r="A22" s="1"/>
      <c r="B22" s="96" t="s">
        <v>13</v>
      </c>
      <c r="C22" s="97"/>
      <c r="D22" s="98"/>
      <c r="E22" s="10">
        <v>2353357.4197390801</v>
      </c>
      <c r="F22" s="11" t="s">
        <v>3</v>
      </c>
      <c r="G22" s="1"/>
    </row>
    <row r="23" spans="1:7" ht="15" customHeight="1" x14ac:dyDescent="0.25">
      <c r="A23" s="1"/>
      <c r="B23" s="99" t="s">
        <v>94</v>
      </c>
      <c r="C23" s="100"/>
      <c r="D23" s="101"/>
      <c r="E23" s="32"/>
      <c r="F23" s="32"/>
      <c r="G23" s="1"/>
    </row>
    <row r="24" spans="1:7" ht="15" customHeight="1" x14ac:dyDescent="0.25">
      <c r="A24" s="1"/>
      <c r="B24" s="59" t="s">
        <v>94</v>
      </c>
      <c r="C24" s="43"/>
      <c r="D24" s="44"/>
      <c r="E24" s="10">
        <v>0</v>
      </c>
      <c r="F24" s="11" t="s">
        <v>3</v>
      </c>
      <c r="G24" s="1"/>
    </row>
    <row r="25" spans="1:7" x14ac:dyDescent="0.25">
      <c r="A25" s="1"/>
      <c r="B25" s="38" t="s">
        <v>93</v>
      </c>
      <c r="C25" s="32"/>
      <c r="D25" s="32"/>
      <c r="E25" s="32"/>
      <c r="F25" s="20"/>
      <c r="G25" s="1"/>
    </row>
    <row r="26" spans="1:7" ht="15" customHeight="1" x14ac:dyDescent="0.25">
      <c r="A26" s="1"/>
      <c r="B26" s="93" t="s">
        <v>89</v>
      </c>
      <c r="C26" s="94"/>
      <c r="D26" s="95"/>
      <c r="E26" s="9">
        <v>0</v>
      </c>
      <c r="F26" s="8" t="s">
        <v>3</v>
      </c>
      <c r="G26" s="1"/>
    </row>
    <row r="27" spans="1:7" ht="15" customHeight="1" x14ac:dyDescent="0.25">
      <c r="A27" s="1"/>
      <c r="B27" s="93" t="s">
        <v>90</v>
      </c>
      <c r="C27" s="94"/>
      <c r="D27" s="94"/>
      <c r="E27" s="9">
        <v>102744.83132172</v>
      </c>
      <c r="F27" s="8" t="s">
        <v>3</v>
      </c>
      <c r="G27" s="1"/>
    </row>
    <row r="28" spans="1:7" ht="15" customHeight="1" x14ac:dyDescent="0.25">
      <c r="A28" s="1"/>
      <c r="B28" s="102" t="s">
        <v>95</v>
      </c>
      <c r="C28" s="103"/>
      <c r="D28" s="103"/>
      <c r="E28" s="45">
        <v>97864.451833938307</v>
      </c>
      <c r="F28" s="11" t="s">
        <v>3</v>
      </c>
      <c r="G28" s="1"/>
    </row>
    <row r="29" spans="1:7" ht="15" customHeight="1" x14ac:dyDescent="0.25">
      <c r="A29" s="1"/>
      <c r="B29" s="38" t="s">
        <v>187</v>
      </c>
      <c r="C29" s="38"/>
      <c r="D29" s="38"/>
      <c r="E29" s="32"/>
      <c r="F29" s="32"/>
      <c r="G29" s="1"/>
    </row>
    <row r="30" spans="1:7" ht="15" customHeight="1" x14ac:dyDescent="0.25">
      <c r="A30" s="1"/>
      <c r="B30" s="96" t="s">
        <v>185</v>
      </c>
      <c r="C30" s="97"/>
      <c r="D30" s="97"/>
      <c r="E30" s="45">
        <v>0</v>
      </c>
      <c r="F30" s="11" t="s">
        <v>3</v>
      </c>
      <c r="G30" s="1"/>
    </row>
    <row r="31" spans="1:7" x14ac:dyDescent="0.25">
      <c r="A31" s="1"/>
      <c r="B31" s="38" t="s">
        <v>148</v>
      </c>
      <c r="C31" s="32"/>
      <c r="D31" s="32"/>
      <c r="E31" s="32"/>
      <c r="F31" s="32"/>
      <c r="G31" s="1"/>
    </row>
    <row r="32" spans="1:7" ht="15.6" customHeight="1" x14ac:dyDescent="0.25">
      <c r="A32" s="1"/>
      <c r="B32" s="96" t="s">
        <v>148</v>
      </c>
      <c r="C32" s="97"/>
      <c r="D32" s="98"/>
      <c r="E32" s="10">
        <v>-736747</v>
      </c>
      <c r="F32" s="11" t="s">
        <v>3</v>
      </c>
      <c r="G32" s="1"/>
    </row>
    <row r="33" spans="1:7" x14ac:dyDescent="0.25">
      <c r="A33" s="1"/>
      <c r="B33" s="38" t="s">
        <v>251</v>
      </c>
      <c r="C33" s="32"/>
      <c r="D33" s="20"/>
      <c r="E33" s="12">
        <f>SUM(E32,E30,E28,E24,E22,E20)</f>
        <v>43727914.701661237</v>
      </c>
      <c r="F33" s="13" t="s">
        <v>3</v>
      </c>
      <c r="G33" s="1"/>
    </row>
    <row r="34" spans="1:7" ht="27" customHeight="1" x14ac:dyDescent="0.25">
      <c r="A34" s="1"/>
      <c r="B34" s="89" t="s">
        <v>252</v>
      </c>
      <c r="C34" s="90"/>
      <c r="D34" s="90"/>
      <c r="E34" s="90"/>
      <c r="F34" s="9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TqI3K4osUZmZjMnrLb3KcbVl5FOOTqPJaZekiAKCAUGL/AQ2xcfO40EsNTe4NKSoZNaeO7LuYw2Ko+8CmpAbsA==" saltValue="PGQDTMcBoPhZUUS0hzcvng==" spinCount="100000" sheet="1" objects="1" scenarios="1"/>
  <mergeCells count="20">
    <mergeCell ref="B26:D26"/>
    <mergeCell ref="B32:D32"/>
    <mergeCell ref="B22:D22"/>
    <mergeCell ref="B23:D23"/>
    <mergeCell ref="B34:F34"/>
    <mergeCell ref="B27:D27"/>
    <mergeCell ref="B28:D28"/>
    <mergeCell ref="B30:D30"/>
    <mergeCell ref="B3:F4"/>
    <mergeCell ref="B9:D9"/>
    <mergeCell ref="B10:D10"/>
    <mergeCell ref="B11:D11"/>
    <mergeCell ref="B12:D12"/>
    <mergeCell ref="B18:D18"/>
    <mergeCell ref="B19:D19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63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85546875" style="2" bestFit="1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42"/>
      <c r="C1" s="42"/>
      <c r="D1" s="42"/>
      <c r="E1" s="42"/>
      <c r="F1" s="42"/>
      <c r="G1" s="42"/>
      <c r="H1" s="42"/>
      <c r="I1" s="1"/>
    </row>
    <row r="2" spans="1:9" ht="15" customHeight="1" x14ac:dyDescent="0.25">
      <c r="A2" s="1"/>
      <c r="B2" s="92" t="s">
        <v>130</v>
      </c>
      <c r="C2" s="92"/>
      <c r="D2" s="92"/>
      <c r="E2" s="92"/>
      <c r="F2" s="92"/>
      <c r="G2" s="92"/>
      <c r="H2" s="92"/>
      <c r="I2" s="1"/>
    </row>
    <row r="3" spans="1:9" ht="28.5" customHeight="1" x14ac:dyDescent="0.25">
      <c r="A3" s="1"/>
      <c r="B3" s="92"/>
      <c r="C3" s="92"/>
      <c r="D3" s="92"/>
      <c r="E3" s="92"/>
      <c r="F3" s="92"/>
      <c r="G3" s="92"/>
      <c r="H3" s="92"/>
      <c r="I3" s="1"/>
    </row>
    <row r="4" spans="1:9" x14ac:dyDescent="0.25">
      <c r="A4" s="1"/>
      <c r="B4" s="99" t="s">
        <v>56</v>
      </c>
      <c r="C4" s="100"/>
      <c r="D4" s="100"/>
      <c r="E4" s="100"/>
      <c r="F4" s="100"/>
      <c r="G4" s="100"/>
      <c r="H4" s="101"/>
      <c r="I4" s="1"/>
    </row>
    <row r="5" spans="1:9" x14ac:dyDescent="0.25">
      <c r="A5" s="1"/>
      <c r="B5" s="104" t="s">
        <v>45</v>
      </c>
      <c r="C5" s="105"/>
      <c r="D5" s="105"/>
      <c r="E5" s="105"/>
      <c r="F5" s="106"/>
      <c r="G5" s="24">
        <v>15067392</v>
      </c>
      <c r="H5" s="14" t="s">
        <v>3</v>
      </c>
      <c r="I5" s="1"/>
    </row>
    <row r="6" spans="1:9" x14ac:dyDescent="0.25">
      <c r="A6" s="1"/>
      <c r="B6" s="89" t="s">
        <v>145</v>
      </c>
      <c r="C6" s="90"/>
      <c r="D6" s="90"/>
      <c r="E6" s="90"/>
      <c r="F6" s="91"/>
      <c r="G6" s="51">
        <v>0</v>
      </c>
      <c r="H6" s="14" t="s">
        <v>3</v>
      </c>
      <c r="I6" s="1"/>
    </row>
    <row r="7" spans="1:9" x14ac:dyDescent="0.25">
      <c r="A7" s="1"/>
      <c r="B7" s="104" t="s">
        <v>46</v>
      </c>
      <c r="C7" s="105"/>
      <c r="D7" s="105"/>
      <c r="E7" s="105"/>
      <c r="F7" s="106"/>
      <c r="G7" s="24">
        <f>SUM(G5:G6)*'Fane 14. Nøgletal'!C29</f>
        <v>301347.84000000003</v>
      </c>
      <c r="H7" s="14" t="s">
        <v>3</v>
      </c>
      <c r="I7" s="1"/>
    </row>
    <row r="8" spans="1:9" x14ac:dyDescent="0.25">
      <c r="A8" s="1"/>
      <c r="B8" s="38"/>
      <c r="C8" s="32"/>
      <c r="D8" s="32"/>
      <c r="E8" s="32"/>
      <c r="F8" s="32"/>
      <c r="G8" s="32"/>
      <c r="H8" s="20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99" t="s">
        <v>57</v>
      </c>
      <c r="C10" s="100"/>
      <c r="D10" s="100"/>
      <c r="E10" s="100"/>
      <c r="F10" s="100"/>
      <c r="G10" s="100"/>
      <c r="H10" s="101"/>
      <c r="I10" s="1"/>
    </row>
    <row r="11" spans="1:9" x14ac:dyDescent="0.25">
      <c r="A11" s="1"/>
      <c r="B11" s="104" t="s">
        <v>47</v>
      </c>
      <c r="C11" s="105"/>
      <c r="D11" s="105"/>
      <c r="E11" s="105"/>
      <c r="F11" s="106"/>
      <c r="G11" s="24">
        <f>(G5-G7)*(1+'Fane 14. Nøgletal'!C10)</f>
        <v>15024449.932800001</v>
      </c>
      <c r="H11" s="14" t="s">
        <v>3</v>
      </c>
      <c r="I11" s="1"/>
    </row>
    <row r="12" spans="1:9" ht="15" customHeight="1" x14ac:dyDescent="0.25">
      <c r="A12" s="1"/>
      <c r="B12" s="104" t="s">
        <v>146</v>
      </c>
      <c r="C12" s="105"/>
      <c r="D12" s="105"/>
      <c r="E12" s="105"/>
      <c r="F12" s="106"/>
      <c r="G12" s="24">
        <v>-10265.46849770512</v>
      </c>
      <c r="H12" s="14" t="s">
        <v>3</v>
      </c>
      <c r="I12" s="1"/>
    </row>
    <row r="13" spans="1:9" x14ac:dyDescent="0.25">
      <c r="A13" s="1"/>
      <c r="B13" s="89" t="s">
        <v>143</v>
      </c>
      <c r="C13" s="90"/>
      <c r="D13" s="90"/>
      <c r="E13" s="90"/>
      <c r="F13" s="91"/>
      <c r="G13" s="51">
        <v>0</v>
      </c>
      <c r="H13" s="14" t="s">
        <v>3</v>
      </c>
      <c r="I13" s="1"/>
    </row>
    <row r="14" spans="1:9" x14ac:dyDescent="0.25">
      <c r="A14" s="1"/>
      <c r="B14" s="110" t="s">
        <v>48</v>
      </c>
      <c r="C14" s="111"/>
      <c r="D14" s="111"/>
      <c r="E14" s="111"/>
      <c r="F14" s="112"/>
      <c r="G14" s="51">
        <v>0</v>
      </c>
      <c r="H14" s="14" t="s">
        <v>3</v>
      </c>
      <c r="I14" s="1"/>
    </row>
    <row r="15" spans="1:9" x14ac:dyDescent="0.25">
      <c r="A15" s="1"/>
      <c r="B15" s="104" t="s">
        <v>49</v>
      </c>
      <c r="C15" s="105"/>
      <c r="D15" s="105"/>
      <c r="E15" s="105"/>
      <c r="F15" s="106"/>
      <c r="G15" s="24">
        <f>SUM(G11:G14)*'Fane 14. Nøgletal'!C29</f>
        <v>300283.6892860459</v>
      </c>
      <c r="H15" s="14" t="s">
        <v>3</v>
      </c>
      <c r="I15" s="1"/>
    </row>
    <row r="16" spans="1:9" x14ac:dyDescent="0.25">
      <c r="A16" s="1"/>
      <c r="B16" s="38"/>
      <c r="C16" s="32"/>
      <c r="D16" s="32"/>
      <c r="E16" s="32"/>
      <c r="F16" s="32"/>
      <c r="G16" s="32"/>
      <c r="H16" s="20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99" t="s">
        <v>58</v>
      </c>
      <c r="C18" s="100"/>
      <c r="D18" s="100"/>
      <c r="E18" s="100"/>
      <c r="F18" s="100"/>
      <c r="G18" s="100"/>
      <c r="H18" s="101"/>
      <c r="I18" s="1"/>
    </row>
    <row r="19" spans="1:9" x14ac:dyDescent="0.25">
      <c r="A19" s="1"/>
      <c r="B19" s="104" t="s">
        <v>50</v>
      </c>
      <c r="C19" s="105"/>
      <c r="D19" s="105"/>
      <c r="E19" s="105"/>
      <c r="F19" s="106"/>
      <c r="G19" s="24">
        <f>(SUM(G11:G12,G14)-(G15))*(1+'Fane 14. Nøgletal'!C10)</f>
        <v>14971394.038579036</v>
      </c>
      <c r="H19" s="14" t="s">
        <v>3</v>
      </c>
      <c r="I19" s="1"/>
    </row>
    <row r="20" spans="1:9" x14ac:dyDescent="0.25">
      <c r="A20" s="1"/>
      <c r="B20" s="110" t="s">
        <v>51</v>
      </c>
      <c r="C20" s="111"/>
      <c r="D20" s="111"/>
      <c r="E20" s="111"/>
      <c r="F20" s="112"/>
      <c r="G20" s="51">
        <v>0</v>
      </c>
      <c r="H20" s="14" t="s">
        <v>3</v>
      </c>
      <c r="I20" s="1"/>
    </row>
    <row r="21" spans="1:9" x14ac:dyDescent="0.25">
      <c r="A21" s="1"/>
      <c r="B21" s="104" t="s">
        <v>52</v>
      </c>
      <c r="C21" s="105"/>
      <c r="D21" s="105"/>
      <c r="E21" s="105"/>
      <c r="F21" s="106"/>
      <c r="G21" s="24">
        <f>SUM(G19:G20)*'Fane 14. Nøgletal'!C29</f>
        <v>299427.88077158073</v>
      </c>
      <c r="H21" s="14" t="s">
        <v>3</v>
      </c>
      <c r="I21" s="1"/>
    </row>
    <row r="22" spans="1:9" x14ac:dyDescent="0.25">
      <c r="A22" s="1"/>
      <c r="B22" s="38"/>
      <c r="C22" s="32"/>
      <c r="D22" s="32"/>
      <c r="E22" s="32"/>
      <c r="F22" s="32"/>
      <c r="G22" s="32"/>
      <c r="H22" s="20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99" t="s">
        <v>59</v>
      </c>
      <c r="C24" s="100"/>
      <c r="D24" s="100"/>
      <c r="E24" s="100"/>
      <c r="F24" s="100"/>
      <c r="G24" s="100"/>
      <c r="H24" s="101"/>
      <c r="I24" s="1"/>
    </row>
    <row r="25" spans="1:9" x14ac:dyDescent="0.25">
      <c r="A25" s="1"/>
      <c r="B25" s="104" t="s">
        <v>53</v>
      </c>
      <c r="C25" s="105"/>
      <c r="D25" s="105"/>
      <c r="E25" s="105"/>
      <c r="F25" s="106"/>
      <c r="G25" s="24">
        <f>(G19+G20-G21)*(1+'Fane 14. Nøgletal'!C12)</f>
        <v>14961003.891116261</v>
      </c>
      <c r="H25" s="14" t="s">
        <v>3</v>
      </c>
      <c r="I25" s="1"/>
    </row>
    <row r="26" spans="1:9" x14ac:dyDescent="0.25">
      <c r="A26" s="1"/>
      <c r="B26" s="110" t="s">
        <v>54</v>
      </c>
      <c r="C26" s="111"/>
      <c r="D26" s="111"/>
      <c r="E26" s="111"/>
      <c r="F26" s="112"/>
      <c r="G26" s="24">
        <v>266076.57329055003</v>
      </c>
      <c r="H26" s="14" t="s">
        <v>3</v>
      </c>
      <c r="I26" s="1"/>
    </row>
    <row r="27" spans="1:9" x14ac:dyDescent="0.25">
      <c r="A27" s="1"/>
      <c r="B27" s="104" t="s">
        <v>55</v>
      </c>
      <c r="C27" s="105"/>
      <c r="D27" s="105"/>
      <c r="E27" s="105"/>
      <c r="F27" s="106"/>
      <c r="G27" s="24">
        <f>(G25+G26)*'Fane 14. Nøgletal'!C29</f>
        <v>304541.60928813624</v>
      </c>
      <c r="H27" s="14" t="s">
        <v>3</v>
      </c>
      <c r="I27" s="1"/>
    </row>
    <row r="28" spans="1:9" x14ac:dyDescent="0.25">
      <c r="A28" s="1"/>
      <c r="B28" s="38"/>
      <c r="C28" s="32"/>
      <c r="D28" s="32"/>
      <c r="E28" s="32"/>
      <c r="F28" s="32"/>
      <c r="G28" s="32"/>
      <c r="H28" s="20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99" t="s">
        <v>62</v>
      </c>
      <c r="C30" s="100"/>
      <c r="D30" s="100"/>
      <c r="E30" s="100"/>
      <c r="F30" s="100"/>
      <c r="G30" s="100"/>
      <c r="H30" s="101"/>
      <c r="I30" s="1"/>
    </row>
    <row r="31" spans="1:9" x14ac:dyDescent="0.25">
      <c r="A31" s="1"/>
      <c r="B31" s="104" t="s">
        <v>63</v>
      </c>
      <c r="C31" s="105"/>
      <c r="D31" s="105"/>
      <c r="E31" s="105"/>
      <c r="F31" s="106"/>
      <c r="G31" s="24">
        <f>(G25+G26-G27)*(1+'Fane 14. Nøgletal'!C12)</f>
        <v>15216512.870564513</v>
      </c>
      <c r="H31" s="14" t="s">
        <v>3</v>
      </c>
      <c r="I31" s="1"/>
    </row>
    <row r="32" spans="1:9" x14ac:dyDescent="0.25">
      <c r="A32" s="1"/>
      <c r="B32" s="104" t="s">
        <v>171</v>
      </c>
      <c r="C32" s="105"/>
      <c r="D32" s="105"/>
      <c r="E32" s="105"/>
      <c r="F32" s="106"/>
      <c r="G32" s="24">
        <v>37795.606707599996</v>
      </c>
      <c r="H32" s="14" t="s">
        <v>3</v>
      </c>
      <c r="I32" s="1"/>
    </row>
    <row r="33" spans="1:9" x14ac:dyDescent="0.25">
      <c r="A33" s="1"/>
      <c r="B33" s="104" t="s">
        <v>64</v>
      </c>
      <c r="C33" s="105"/>
      <c r="D33" s="105"/>
      <c r="E33" s="105"/>
      <c r="F33" s="106"/>
      <c r="G33" s="24">
        <f>(G31+G32)*'Fane 14. Nøgletal'!C29</f>
        <v>305086.16954544227</v>
      </c>
      <c r="H33" s="14" t="s">
        <v>3</v>
      </c>
      <c r="I33" s="1"/>
    </row>
    <row r="34" spans="1:9" x14ac:dyDescent="0.25">
      <c r="A34" s="1"/>
      <c r="B34" s="38"/>
      <c r="C34" s="32"/>
      <c r="D34" s="32"/>
      <c r="E34" s="32"/>
      <c r="F34" s="32"/>
      <c r="G34" s="32"/>
      <c r="H34" s="20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99" t="s">
        <v>232</v>
      </c>
      <c r="C36" s="100"/>
      <c r="D36" s="100"/>
      <c r="E36" s="100"/>
      <c r="F36" s="100"/>
      <c r="G36" s="100"/>
      <c r="H36" s="101"/>
      <c r="I36" s="1"/>
    </row>
    <row r="37" spans="1:9" x14ac:dyDescent="0.25">
      <c r="A37" s="1"/>
      <c r="B37" s="104" t="s">
        <v>84</v>
      </c>
      <c r="C37" s="105"/>
      <c r="D37" s="105"/>
      <c r="E37" s="105"/>
      <c r="F37" s="106"/>
      <c r="G37" s="24">
        <f>(G31+G32-G33)*(1+'Fane 14. Nøgletal'!C14)</f>
        <v>14998554.741342172</v>
      </c>
      <c r="H37" s="14" t="s">
        <v>3</v>
      </c>
      <c r="I37" s="1"/>
    </row>
    <row r="38" spans="1:9" x14ac:dyDescent="0.25">
      <c r="A38" s="1"/>
      <c r="B38" s="104" t="s">
        <v>236</v>
      </c>
      <c r="C38" s="105"/>
      <c r="D38" s="105"/>
      <c r="E38" s="105"/>
      <c r="F38" s="106"/>
      <c r="G38" s="24">
        <f>SUM('Fane 2.1. Økonomisk ramme 2022'!C10,'Fane 2.1. Økonomisk ramme 2022'!C12,'Fane 2.1. Økonomisk ramme 2022'!C14)*(1+'Fane 14. Nøgletal'!C14)</f>
        <v>212995.84449133003</v>
      </c>
      <c r="H38" s="14" t="s">
        <v>3</v>
      </c>
      <c r="I38" s="1"/>
    </row>
    <row r="39" spans="1:9" x14ac:dyDescent="0.25">
      <c r="A39" s="1"/>
      <c r="B39" s="104" t="s">
        <v>234</v>
      </c>
      <c r="C39" s="105"/>
      <c r="D39" s="105"/>
      <c r="E39" s="105"/>
      <c r="F39" s="106"/>
      <c r="G39" s="24">
        <f>(G37+G38)*'Fane 14. Nøgletal'!C29</f>
        <v>304231.01171667007</v>
      </c>
      <c r="H39" s="14" t="s">
        <v>3</v>
      </c>
      <c r="I39" s="1"/>
    </row>
    <row r="40" spans="1:9" x14ac:dyDescent="0.25">
      <c r="A40" s="1"/>
      <c r="B40" s="38"/>
      <c r="C40" s="32"/>
      <c r="D40" s="32"/>
      <c r="E40" s="32"/>
      <c r="F40" s="32"/>
      <c r="G40" s="32"/>
      <c r="H40" s="20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99" t="s">
        <v>233</v>
      </c>
      <c r="C42" s="100"/>
      <c r="D42" s="100"/>
      <c r="E42" s="100"/>
      <c r="F42" s="100"/>
      <c r="G42" s="100"/>
      <c r="H42" s="101"/>
      <c r="I42" s="1"/>
    </row>
    <row r="43" spans="1:9" x14ac:dyDescent="0.25">
      <c r="A43" s="1"/>
      <c r="B43" s="104" t="s">
        <v>83</v>
      </c>
      <c r="C43" s="105"/>
      <c r="D43" s="105"/>
      <c r="E43" s="105"/>
      <c r="F43" s="106"/>
      <c r="G43" s="24">
        <f>(G37+G38-G39)*(1+'Fane 14. Nøgletal'!C14)</f>
        <v>14956513.728711421</v>
      </c>
      <c r="H43" s="14" t="s">
        <v>3</v>
      </c>
      <c r="I43" s="1"/>
    </row>
    <row r="44" spans="1:9" x14ac:dyDescent="0.25">
      <c r="A44" s="1"/>
      <c r="B44" s="107" t="s">
        <v>237</v>
      </c>
      <c r="C44" s="108"/>
      <c r="D44" s="108"/>
      <c r="E44" s="108"/>
      <c r="F44" s="109"/>
      <c r="G44" s="24">
        <f>G38*(1+'Fane 14. Nøgletal'!C14)</f>
        <v>213698.73077815145</v>
      </c>
      <c r="H44" s="14" t="s">
        <v>3</v>
      </c>
      <c r="I44" s="1"/>
    </row>
    <row r="45" spans="1:9" x14ac:dyDescent="0.25">
      <c r="A45" s="1"/>
      <c r="B45" s="104" t="s">
        <v>97</v>
      </c>
      <c r="C45" s="105"/>
      <c r="D45" s="105"/>
      <c r="E45" s="105"/>
      <c r="F45" s="106"/>
      <c r="G45" s="51">
        <v>0</v>
      </c>
      <c r="H45" s="14" t="s">
        <v>3</v>
      </c>
      <c r="I45" s="1"/>
    </row>
    <row r="46" spans="1:9" x14ac:dyDescent="0.25">
      <c r="A46" s="1"/>
      <c r="B46" s="104" t="s">
        <v>235</v>
      </c>
      <c r="C46" s="105"/>
      <c r="D46" s="105"/>
      <c r="E46" s="105"/>
      <c r="F46" s="106"/>
      <c r="G46" s="24">
        <f>(G43+G45)*'Fane 14. Nøgletal'!C29</f>
        <v>299130.27457422845</v>
      </c>
      <c r="H46" s="14" t="s">
        <v>3</v>
      </c>
      <c r="I46" s="1"/>
    </row>
    <row r="47" spans="1:9" x14ac:dyDescent="0.25">
      <c r="A47" s="1"/>
      <c r="B47" s="38"/>
      <c r="C47" s="32"/>
      <c r="D47" s="32"/>
      <c r="E47" s="32"/>
      <c r="F47" s="32"/>
      <c r="G47" s="32"/>
      <c r="H47" s="20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99" t="s">
        <v>172</v>
      </c>
      <c r="C51" s="100"/>
      <c r="D51" s="100"/>
      <c r="E51" s="100"/>
      <c r="F51" s="100"/>
      <c r="G51" s="100"/>
      <c r="H51" s="101"/>
      <c r="I51" s="1"/>
    </row>
    <row r="52" spans="1:9" x14ac:dyDescent="0.25">
      <c r="A52" s="1"/>
      <c r="B52" s="104" t="s">
        <v>173</v>
      </c>
      <c r="C52" s="105"/>
      <c r="D52" s="105"/>
      <c r="E52" s="105"/>
      <c r="F52" s="106"/>
      <c r="G52" s="24">
        <f>(G43+G45-G46)*(1+'Fane 14. Nøgletal'!C14)</f>
        <v>14705752.819535848</v>
      </c>
      <c r="H52" s="14" t="s">
        <v>3</v>
      </c>
      <c r="I52" s="1"/>
    </row>
    <row r="53" spans="1:9" x14ac:dyDescent="0.25">
      <c r="A53" s="1"/>
      <c r="B53" s="104" t="s">
        <v>174</v>
      </c>
      <c r="C53" s="105"/>
      <c r="D53" s="105"/>
      <c r="E53" s="105"/>
      <c r="F53" s="106"/>
      <c r="G53" s="51">
        <v>0</v>
      </c>
      <c r="H53" s="14" t="s">
        <v>3</v>
      </c>
      <c r="I53" s="1"/>
    </row>
    <row r="54" spans="1:9" x14ac:dyDescent="0.25">
      <c r="A54" s="1"/>
      <c r="B54" s="104" t="s">
        <v>175</v>
      </c>
      <c r="C54" s="105"/>
      <c r="D54" s="105"/>
      <c r="E54" s="105"/>
      <c r="F54" s="106"/>
      <c r="G54" s="24">
        <f>(G52+G53)*'Fane 14. Nøgletal'!C29</f>
        <v>294115.05639071699</v>
      </c>
      <c r="H54" s="14" t="s">
        <v>3</v>
      </c>
      <c r="I54" s="1"/>
    </row>
    <row r="55" spans="1:9" x14ac:dyDescent="0.25">
      <c r="A55" s="1"/>
      <c r="B55" s="38"/>
      <c r="C55" s="32"/>
      <c r="D55" s="32"/>
      <c r="E55" s="32"/>
      <c r="F55" s="32"/>
      <c r="G55" s="32"/>
      <c r="H55" s="20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99" t="s">
        <v>201</v>
      </c>
      <c r="C57" s="100"/>
      <c r="D57" s="100"/>
      <c r="E57" s="100"/>
      <c r="F57" s="100"/>
      <c r="G57" s="100"/>
      <c r="H57" s="101"/>
      <c r="I57" s="1"/>
    </row>
    <row r="58" spans="1:9" x14ac:dyDescent="0.25">
      <c r="A58" s="1"/>
      <c r="B58" s="62" t="s">
        <v>202</v>
      </c>
      <c r="C58" s="63"/>
      <c r="D58" s="63"/>
      <c r="E58" s="63"/>
      <c r="F58" s="64"/>
      <c r="G58" s="24">
        <f>(G52+G53-G54)*(1+'Fane 14. Nøgletal'!C14)</f>
        <v>14459196.167763511</v>
      </c>
      <c r="H58" s="14" t="s">
        <v>3</v>
      </c>
      <c r="I58" s="1"/>
    </row>
    <row r="59" spans="1:9" x14ac:dyDescent="0.25">
      <c r="A59" s="1"/>
      <c r="B59" s="62" t="s">
        <v>203</v>
      </c>
      <c r="C59" s="63"/>
      <c r="D59" s="63"/>
      <c r="E59" s="63"/>
      <c r="F59" s="64"/>
      <c r="G59" s="51">
        <v>0</v>
      </c>
      <c r="H59" s="14" t="s">
        <v>3</v>
      </c>
      <c r="I59" s="1"/>
    </row>
    <row r="60" spans="1:9" x14ac:dyDescent="0.25">
      <c r="A60" s="1"/>
      <c r="B60" s="62" t="s">
        <v>204</v>
      </c>
      <c r="C60" s="63"/>
      <c r="D60" s="63"/>
      <c r="E60" s="63"/>
      <c r="F60" s="64"/>
      <c r="G60" s="24">
        <f>(G58+G59)*'Fane 14. Nøgletal'!C29</f>
        <v>289183.92335527024</v>
      </c>
      <c r="H60" s="14" t="s">
        <v>3</v>
      </c>
      <c r="I60" s="1"/>
    </row>
    <row r="61" spans="1:9" x14ac:dyDescent="0.25">
      <c r="A61" s="1"/>
      <c r="B61" s="38"/>
      <c r="C61" s="32"/>
      <c r="D61" s="32"/>
      <c r="E61" s="32"/>
      <c r="F61" s="32"/>
      <c r="G61" s="32"/>
      <c r="H61" s="20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sheetProtection algorithmName="SHA-512" hashValue="RsxMnf0J6fu0lA5Nou8oVKEN6dKfY8clJmV0JF94v/KmvifTx/hiBv+Rl03VdC3lRHv8TSV8bBeKj7Wc0AinoA==" saltValue="KjznJ3pGoLRxm0tbV73ILw==" spinCount="100000" sheet="1" objects="1" scenarios="1"/>
  <mergeCells count="37">
    <mergeCell ref="B11:F11"/>
    <mergeCell ref="B10:H10"/>
    <mergeCell ref="B6:F6"/>
    <mergeCell ref="B2:H3"/>
    <mergeCell ref="B24:H24"/>
    <mergeCell ref="B4:H4"/>
    <mergeCell ref="B5:F5"/>
    <mergeCell ref="B7:F7"/>
    <mergeCell ref="B12:F12"/>
    <mergeCell ref="B13:F13"/>
    <mergeCell ref="B30:H30"/>
    <mergeCell ref="B31:F31"/>
    <mergeCell ref="B36:H36"/>
    <mergeCell ref="B18:H18"/>
    <mergeCell ref="B14:F14"/>
    <mergeCell ref="B15:F15"/>
    <mergeCell ref="B19:F19"/>
    <mergeCell ref="B20:F20"/>
    <mergeCell ref="B21:F21"/>
    <mergeCell ref="B25:F25"/>
    <mergeCell ref="B26:F26"/>
    <mergeCell ref="B27:F27"/>
    <mergeCell ref="B57:H57"/>
    <mergeCell ref="B51:H51"/>
    <mergeCell ref="B52:F52"/>
    <mergeCell ref="B53:F53"/>
    <mergeCell ref="B32:F32"/>
    <mergeCell ref="B33:F33"/>
    <mergeCell ref="B42:H42"/>
    <mergeCell ref="B43:F43"/>
    <mergeCell ref="B46:F46"/>
    <mergeCell ref="B38:F38"/>
    <mergeCell ref="B45:F45"/>
    <mergeCell ref="B39:F39"/>
    <mergeCell ref="B44:F44"/>
    <mergeCell ref="B54:F54"/>
    <mergeCell ref="B37:F3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63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85546875" style="2" bestFit="1" customWidth="1"/>
    <col min="8" max="8" width="4.28515625" style="2" customWidth="1"/>
    <col min="9" max="9" width="6.7109375" style="2" customWidth="1"/>
    <col min="10" max="16384" width="9.140625" style="2"/>
  </cols>
  <sheetData>
    <row r="1" spans="1:9" ht="14.25" customHeight="1" x14ac:dyDescent="0.25">
      <c r="A1" s="1"/>
      <c r="B1" s="113" t="s">
        <v>131</v>
      </c>
      <c r="C1" s="113"/>
      <c r="D1" s="113"/>
      <c r="E1" s="113"/>
      <c r="F1" s="113"/>
      <c r="G1" s="113"/>
      <c r="H1" s="113"/>
      <c r="I1" s="1"/>
    </row>
    <row r="2" spans="1:9" ht="15" customHeight="1" x14ac:dyDescent="0.25">
      <c r="A2" s="1"/>
      <c r="B2" s="113"/>
      <c r="C2" s="113"/>
      <c r="D2" s="113"/>
      <c r="E2" s="113"/>
      <c r="F2" s="113"/>
      <c r="G2" s="113"/>
      <c r="H2" s="113"/>
      <c r="I2" s="1"/>
    </row>
    <row r="3" spans="1:9" ht="15" customHeight="1" x14ac:dyDescent="0.25">
      <c r="A3" s="1"/>
      <c r="B3" s="114"/>
      <c r="C3" s="114"/>
      <c r="D3" s="114"/>
      <c r="E3" s="114"/>
      <c r="F3" s="114"/>
      <c r="G3" s="114"/>
      <c r="H3" s="114"/>
      <c r="I3" s="1"/>
    </row>
    <row r="4" spans="1:9" x14ac:dyDescent="0.25">
      <c r="A4" s="1"/>
      <c r="B4" s="99" t="s">
        <v>60</v>
      </c>
      <c r="C4" s="100"/>
      <c r="D4" s="100"/>
      <c r="E4" s="100"/>
      <c r="F4" s="100"/>
      <c r="G4" s="100"/>
      <c r="H4" s="101"/>
      <c r="I4" s="1"/>
    </row>
    <row r="5" spans="1:9" x14ac:dyDescent="0.25">
      <c r="A5" s="1"/>
      <c r="B5" s="104" t="s">
        <v>65</v>
      </c>
      <c r="C5" s="105"/>
      <c r="D5" s="105"/>
      <c r="E5" s="105"/>
      <c r="F5" s="106"/>
      <c r="G5" s="24">
        <v>29133275</v>
      </c>
      <c r="H5" s="14" t="s">
        <v>3</v>
      </c>
      <c r="I5" s="1"/>
    </row>
    <row r="6" spans="1:9" x14ac:dyDescent="0.25">
      <c r="A6" s="1"/>
      <c r="B6" s="104" t="s">
        <v>61</v>
      </c>
      <c r="C6" s="105"/>
      <c r="D6" s="105"/>
      <c r="E6" s="105"/>
      <c r="F6" s="106"/>
      <c r="G6" s="24">
        <f>G5*'Fane 14. Nøgletal'!C19</f>
        <v>265112.80249999999</v>
      </c>
      <c r="H6" s="14" t="s">
        <v>3</v>
      </c>
      <c r="I6" s="1"/>
    </row>
    <row r="7" spans="1:9" x14ac:dyDescent="0.25">
      <c r="A7" s="1"/>
      <c r="B7" s="38"/>
      <c r="C7" s="32"/>
      <c r="D7" s="32"/>
      <c r="E7" s="32"/>
      <c r="F7" s="32"/>
      <c r="G7" s="32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99" t="s">
        <v>66</v>
      </c>
      <c r="C9" s="100"/>
      <c r="D9" s="100"/>
      <c r="E9" s="100"/>
      <c r="F9" s="100"/>
      <c r="G9" s="100"/>
      <c r="H9" s="101"/>
      <c r="I9" s="1"/>
    </row>
    <row r="10" spans="1:9" x14ac:dyDescent="0.25">
      <c r="A10" s="1"/>
      <c r="B10" s="104" t="s">
        <v>67</v>
      </c>
      <c r="C10" s="105"/>
      <c r="D10" s="105"/>
      <c r="E10" s="105"/>
      <c r="F10" s="106"/>
      <c r="G10" s="24">
        <f>(G5-G6)*(1+'Fane 14. Nøgletal'!C10)</f>
        <v>29373355.035956252</v>
      </c>
      <c r="H10" s="14" t="s">
        <v>3</v>
      </c>
      <c r="I10" s="1"/>
    </row>
    <row r="11" spans="1:9" x14ac:dyDescent="0.25">
      <c r="A11" s="1"/>
      <c r="B11" s="104" t="s">
        <v>147</v>
      </c>
      <c r="C11" s="105"/>
      <c r="D11" s="105"/>
      <c r="E11" s="105"/>
      <c r="F11" s="106"/>
      <c r="G11" s="24">
        <v>391263.02436259849</v>
      </c>
      <c r="H11" s="14" t="s">
        <v>3</v>
      </c>
      <c r="I11" s="1"/>
    </row>
    <row r="12" spans="1:9" x14ac:dyDescent="0.25">
      <c r="A12" s="1"/>
      <c r="B12" s="110" t="s">
        <v>68</v>
      </c>
      <c r="C12" s="111"/>
      <c r="D12" s="111"/>
      <c r="E12" s="111"/>
      <c r="F12" s="112"/>
      <c r="G12" s="51">
        <v>0</v>
      </c>
      <c r="H12" s="14" t="s">
        <v>3</v>
      </c>
      <c r="I12" s="1"/>
    </row>
    <row r="13" spans="1:9" x14ac:dyDescent="0.25">
      <c r="A13" s="1"/>
      <c r="B13" s="104" t="s">
        <v>69</v>
      </c>
      <c r="C13" s="105"/>
      <c r="D13" s="105"/>
      <c r="E13" s="105"/>
      <c r="F13" s="106"/>
      <c r="G13" s="24">
        <f>SUM(G10:G12)*'Fane 14. Nøgletal'!C20</f>
        <v>526833.73966764368</v>
      </c>
      <c r="H13" s="14" t="s">
        <v>3</v>
      </c>
      <c r="I13" s="1"/>
    </row>
    <row r="14" spans="1:9" x14ac:dyDescent="0.25">
      <c r="A14" s="1"/>
      <c r="B14" s="38"/>
      <c r="C14" s="32"/>
      <c r="D14" s="32"/>
      <c r="E14" s="32"/>
      <c r="F14" s="32"/>
      <c r="G14" s="32"/>
      <c r="H14" s="20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9" t="s">
        <v>70</v>
      </c>
      <c r="C16" s="100"/>
      <c r="D16" s="100"/>
      <c r="E16" s="100"/>
      <c r="F16" s="100"/>
      <c r="G16" s="100"/>
      <c r="H16" s="101"/>
      <c r="I16" s="1"/>
    </row>
    <row r="17" spans="1:9" x14ac:dyDescent="0.25">
      <c r="A17" s="1"/>
      <c r="B17" s="104" t="s">
        <v>71</v>
      </c>
      <c r="C17" s="105"/>
      <c r="D17" s="105"/>
      <c r="E17" s="105"/>
      <c r="F17" s="106"/>
      <c r="G17" s="24">
        <f>(SUM(G10:G12)-G13)*(1+'Fane 14. Nøgletal'!C10)</f>
        <v>29749445.546262607</v>
      </c>
      <c r="H17" s="14" t="s">
        <v>3</v>
      </c>
      <c r="I17" s="1"/>
    </row>
    <row r="18" spans="1:9" x14ac:dyDescent="0.25">
      <c r="A18" s="1"/>
      <c r="B18" s="110" t="s">
        <v>72</v>
      </c>
      <c r="C18" s="111"/>
      <c r="D18" s="111"/>
      <c r="E18" s="111"/>
      <c r="F18" s="112"/>
      <c r="G18" s="24">
        <v>96265.097606119976</v>
      </c>
      <c r="H18" s="14" t="s">
        <v>3</v>
      </c>
      <c r="I18" s="1"/>
    </row>
    <row r="19" spans="1:9" x14ac:dyDescent="0.25">
      <c r="A19" s="1"/>
      <c r="B19" s="104" t="s">
        <v>73</v>
      </c>
      <c r="C19" s="105"/>
      <c r="D19" s="105"/>
      <c r="E19" s="105"/>
      <c r="F19" s="106"/>
      <c r="G19" s="24">
        <f>G17*'Fane 14. Nøgletal'!C20+G18*'Fane 14. Nøgletal'!C21</f>
        <v>527402.69251802145</v>
      </c>
      <c r="H19" s="14" t="s">
        <v>3</v>
      </c>
      <c r="I19" s="1"/>
    </row>
    <row r="20" spans="1:9" x14ac:dyDescent="0.25">
      <c r="A20" s="1"/>
      <c r="B20" s="38"/>
      <c r="C20" s="32"/>
      <c r="D20" s="32"/>
      <c r="E20" s="32"/>
      <c r="F20" s="32"/>
      <c r="G20" s="32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99" t="s">
        <v>74</v>
      </c>
      <c r="C22" s="100"/>
      <c r="D22" s="100"/>
      <c r="E22" s="100"/>
      <c r="F22" s="100"/>
      <c r="G22" s="100"/>
      <c r="H22" s="101"/>
      <c r="I22" s="1"/>
    </row>
    <row r="23" spans="1:9" x14ac:dyDescent="0.25">
      <c r="A23" s="1"/>
      <c r="B23" s="104" t="s">
        <v>75</v>
      </c>
      <c r="C23" s="105"/>
      <c r="D23" s="105"/>
      <c r="E23" s="105"/>
      <c r="F23" s="106"/>
      <c r="G23" s="24">
        <f>(G17+G18-G19)*(1+'Fane 14. Nøgletal'!C12)</f>
        <v>29895878.617992315</v>
      </c>
      <c r="H23" s="14" t="s">
        <v>3</v>
      </c>
      <c r="I23" s="1"/>
    </row>
    <row r="24" spans="1:9" x14ac:dyDescent="0.25">
      <c r="A24" s="1"/>
      <c r="B24" s="110" t="s">
        <v>76</v>
      </c>
      <c r="C24" s="111"/>
      <c r="D24" s="111"/>
      <c r="E24" s="111"/>
      <c r="F24" s="112"/>
      <c r="G24" s="24">
        <v>1462919.1156804909</v>
      </c>
      <c r="H24" s="14" t="s">
        <v>3</v>
      </c>
      <c r="I24" s="1"/>
    </row>
    <row r="25" spans="1:9" x14ac:dyDescent="0.25">
      <c r="A25" s="1"/>
      <c r="B25" s="104" t="s">
        <v>77</v>
      </c>
      <c r="C25" s="105"/>
      <c r="D25" s="105"/>
      <c r="E25" s="105"/>
      <c r="F25" s="106"/>
      <c r="G25" s="24">
        <f>(G23+G24)*'Fane 14. Nøgletal'!C22</f>
        <v>890589.85563630774</v>
      </c>
      <c r="H25" s="14" t="s">
        <v>3</v>
      </c>
      <c r="I25" s="1"/>
    </row>
    <row r="26" spans="1:9" x14ac:dyDescent="0.25">
      <c r="A26" s="1"/>
      <c r="B26" s="38"/>
      <c r="C26" s="32"/>
      <c r="D26" s="32"/>
      <c r="E26" s="32"/>
      <c r="F26" s="32"/>
      <c r="G26" s="32"/>
      <c r="H26" s="20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99" t="s">
        <v>78</v>
      </c>
      <c r="C28" s="100"/>
      <c r="D28" s="100"/>
      <c r="E28" s="100"/>
      <c r="F28" s="100"/>
      <c r="G28" s="100"/>
      <c r="H28" s="101"/>
      <c r="I28" s="1"/>
    </row>
    <row r="29" spans="1:9" x14ac:dyDescent="0.25">
      <c r="A29" s="1"/>
      <c r="B29" s="104" t="s">
        <v>79</v>
      </c>
      <c r="C29" s="105"/>
      <c r="D29" s="105"/>
      <c r="E29" s="105"/>
      <c r="F29" s="106"/>
      <c r="G29" s="24">
        <f>(G23+G24-G25)*(1+'Fane 14. Nøgletal'!C12)</f>
        <v>31068431.57323382</v>
      </c>
      <c r="H29" s="14" t="s">
        <v>3</v>
      </c>
      <c r="I29" s="1"/>
    </row>
    <row r="30" spans="1:9" x14ac:dyDescent="0.25">
      <c r="A30" s="1"/>
      <c r="B30" s="104" t="s">
        <v>176</v>
      </c>
      <c r="C30" s="105"/>
      <c r="D30" s="105"/>
      <c r="E30" s="105"/>
      <c r="F30" s="106"/>
      <c r="G30" s="24">
        <v>441486.29154672002</v>
      </c>
      <c r="H30" s="14" t="s">
        <v>3</v>
      </c>
      <c r="I30" s="1"/>
    </row>
    <row r="31" spans="1:9" x14ac:dyDescent="0.25">
      <c r="A31" s="1"/>
      <c r="B31" s="104" t="s">
        <v>80</v>
      </c>
      <c r="C31" s="105"/>
      <c r="D31" s="105"/>
      <c r="E31" s="105"/>
      <c r="F31" s="106"/>
      <c r="G31" s="24">
        <f>G29*'Fane 14. Nøgletal'!C22+G30*'Fane 14. Nøgletal'!C23</f>
        <v>894484.32969737542</v>
      </c>
      <c r="H31" s="14" t="s">
        <v>3</v>
      </c>
      <c r="I31" s="1"/>
    </row>
    <row r="32" spans="1:9" x14ac:dyDescent="0.25">
      <c r="A32" s="1"/>
      <c r="B32" s="38"/>
      <c r="C32" s="32"/>
      <c r="D32" s="32"/>
      <c r="E32" s="32"/>
      <c r="F32" s="32"/>
      <c r="G32" s="32"/>
      <c r="H32" s="20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99" t="s">
        <v>238</v>
      </c>
      <c r="C34" s="100"/>
      <c r="D34" s="100"/>
      <c r="E34" s="100"/>
      <c r="F34" s="100"/>
      <c r="G34" s="100"/>
      <c r="H34" s="101"/>
      <c r="I34" s="1"/>
    </row>
    <row r="35" spans="1:9" x14ac:dyDescent="0.25">
      <c r="A35" s="1"/>
      <c r="B35" s="104" t="s">
        <v>82</v>
      </c>
      <c r="C35" s="105"/>
      <c r="D35" s="105"/>
      <c r="E35" s="105"/>
      <c r="F35" s="106"/>
      <c r="G35" s="24">
        <f>(G29+G30-G31)*(1+'Fane 14. Nøgletal'!C14)</f>
        <v>30716464.465748943</v>
      </c>
      <c r="H35" s="14" t="s">
        <v>3</v>
      </c>
      <c r="I35" s="1"/>
    </row>
    <row r="36" spans="1:9" x14ac:dyDescent="0.25">
      <c r="A36" s="1"/>
      <c r="B36" s="104" t="s">
        <v>240</v>
      </c>
      <c r="C36" s="105"/>
      <c r="D36" s="105"/>
      <c r="E36" s="105"/>
      <c r="F36" s="106"/>
      <c r="G36" s="24">
        <f>SUM('Fane 2.1. Økonomisk ramme 2022'!C11,'Fane 2.1. Økonomisk ramme 2022'!C13,'Fane 2.1. Økonomisk ramme 2022'!C15)*(1+'Fane 14. Nøgletal'!C14)</f>
        <v>1271442.1622718803</v>
      </c>
      <c r="H36" s="14" t="s">
        <v>3</v>
      </c>
      <c r="I36" s="1"/>
    </row>
    <row r="37" spans="1:9" x14ac:dyDescent="0.25">
      <c r="A37" s="1"/>
      <c r="B37" s="104" t="s">
        <v>239</v>
      </c>
      <c r="C37" s="105"/>
      <c r="D37" s="105"/>
      <c r="E37" s="105"/>
      <c r="F37" s="106"/>
      <c r="G37" s="24">
        <f>(G35+G36)*'Fane 14. Nøgletal'!C24</f>
        <v>473421.01809470821</v>
      </c>
      <c r="H37" s="14" t="s">
        <v>3</v>
      </c>
      <c r="I37" s="1"/>
    </row>
    <row r="38" spans="1:9" x14ac:dyDescent="0.25">
      <c r="A38" s="1"/>
      <c r="B38" s="38"/>
      <c r="C38" s="32"/>
      <c r="D38" s="32"/>
      <c r="E38" s="32"/>
      <c r="F38" s="32"/>
      <c r="G38" s="32"/>
      <c r="H38" s="20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99" t="s">
        <v>85</v>
      </c>
      <c r="C40" s="100"/>
      <c r="D40" s="100"/>
      <c r="E40" s="100"/>
      <c r="F40" s="100"/>
      <c r="G40" s="100"/>
      <c r="H40" s="101"/>
      <c r="I40" s="1"/>
    </row>
    <row r="41" spans="1:9" x14ac:dyDescent="0.25">
      <c r="A41" s="1"/>
      <c r="B41" s="104" t="s">
        <v>81</v>
      </c>
      <c r="C41" s="105"/>
      <c r="D41" s="105"/>
      <c r="E41" s="105"/>
      <c r="F41" s="106"/>
      <c r="G41" s="24">
        <f>(G35+G36-G37)*(1+'Fane 14. Nøgletal'!C14)</f>
        <v>31618483.412438873</v>
      </c>
      <c r="H41" s="14" t="s">
        <v>3</v>
      </c>
      <c r="I41" s="1"/>
    </row>
    <row r="42" spans="1:9" x14ac:dyDescent="0.25">
      <c r="A42" s="1"/>
      <c r="B42" s="47" t="s">
        <v>242</v>
      </c>
      <c r="C42" s="63"/>
      <c r="D42" s="63"/>
      <c r="E42" s="63"/>
      <c r="F42" s="64"/>
      <c r="G42" s="24">
        <f>G36*(1+'Fane 14. Nøgletal'!C14)</f>
        <v>1275637.9214073776</v>
      </c>
      <c r="H42" s="14" t="s">
        <v>3</v>
      </c>
      <c r="I42" s="1"/>
    </row>
    <row r="43" spans="1:9" x14ac:dyDescent="0.25">
      <c r="A43" s="1"/>
      <c r="B43" s="104" t="s">
        <v>101</v>
      </c>
      <c r="C43" s="105"/>
      <c r="D43" s="105"/>
      <c r="E43" s="105"/>
      <c r="F43" s="106"/>
      <c r="G43" s="51">
        <v>0</v>
      </c>
      <c r="H43" s="14" t="s">
        <v>3</v>
      </c>
      <c r="I43" s="1"/>
    </row>
    <row r="44" spans="1:9" x14ac:dyDescent="0.25">
      <c r="A44" s="1"/>
      <c r="B44" s="104" t="s">
        <v>241</v>
      </c>
      <c r="C44" s="105"/>
      <c r="D44" s="105"/>
      <c r="E44" s="105"/>
      <c r="F44" s="106"/>
      <c r="G44" s="24">
        <f>(G41+G43)*'Fane 14. Nøgletal'!C24</f>
        <v>467953.55450409534</v>
      </c>
      <c r="H44" s="14" t="s">
        <v>3</v>
      </c>
      <c r="I44" s="1"/>
    </row>
    <row r="45" spans="1:9" x14ac:dyDescent="0.25">
      <c r="A45" s="1"/>
      <c r="B45" s="38"/>
      <c r="C45" s="32"/>
      <c r="D45" s="32"/>
      <c r="E45" s="32"/>
      <c r="F45" s="32"/>
      <c r="G45" s="32"/>
      <c r="H45" s="20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99" t="s">
        <v>181</v>
      </c>
      <c r="C52" s="100"/>
      <c r="D52" s="100"/>
      <c r="E52" s="100"/>
      <c r="F52" s="100"/>
      <c r="G52" s="100"/>
      <c r="H52" s="101"/>
      <c r="I52" s="1"/>
    </row>
    <row r="53" spans="1:9" x14ac:dyDescent="0.25">
      <c r="A53" s="1"/>
      <c r="B53" s="104" t="s">
        <v>182</v>
      </c>
      <c r="C53" s="105"/>
      <c r="D53" s="105"/>
      <c r="E53" s="105"/>
      <c r="F53" s="106"/>
      <c r="G53" s="24">
        <f>(G41+G43-G44)*(1+'Fane 14. Nøgletal'!C14)</f>
        <v>31253326.606465966</v>
      </c>
      <c r="H53" s="14" t="s">
        <v>3</v>
      </c>
      <c r="I53" s="1"/>
    </row>
    <row r="54" spans="1:9" x14ac:dyDescent="0.25">
      <c r="A54" s="1"/>
      <c r="B54" s="104" t="s">
        <v>183</v>
      </c>
      <c r="C54" s="105"/>
      <c r="D54" s="105"/>
      <c r="E54" s="105"/>
      <c r="F54" s="106"/>
      <c r="G54" s="51">
        <v>0</v>
      </c>
      <c r="H54" s="14" t="s">
        <v>3</v>
      </c>
      <c r="I54" s="1"/>
    </row>
    <row r="55" spans="1:9" x14ac:dyDescent="0.25">
      <c r="A55" s="1"/>
      <c r="B55" s="104" t="s">
        <v>184</v>
      </c>
      <c r="C55" s="105"/>
      <c r="D55" s="105"/>
      <c r="E55" s="105"/>
      <c r="F55" s="106"/>
      <c r="G55" s="24">
        <f>(G53+G54)*'Fane 14. Nøgletal'!C24</f>
        <v>462549.23377569631</v>
      </c>
      <c r="H55" s="14" t="s">
        <v>3</v>
      </c>
      <c r="I55" s="1"/>
    </row>
    <row r="56" spans="1:9" x14ac:dyDescent="0.25">
      <c r="A56" s="1"/>
      <c r="B56" s="38"/>
      <c r="C56" s="32"/>
      <c r="D56" s="32"/>
      <c r="E56" s="32"/>
      <c r="F56" s="32"/>
      <c r="G56" s="32"/>
      <c r="H56" s="20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99" t="s">
        <v>205</v>
      </c>
      <c r="C58" s="100"/>
      <c r="D58" s="100"/>
      <c r="E58" s="100"/>
      <c r="F58" s="100"/>
      <c r="G58" s="100"/>
      <c r="H58" s="101"/>
      <c r="I58" s="1"/>
    </row>
    <row r="59" spans="1:9" x14ac:dyDescent="0.25">
      <c r="A59" s="1"/>
      <c r="B59" s="104" t="s">
        <v>255</v>
      </c>
      <c r="C59" s="105"/>
      <c r="D59" s="105"/>
      <c r="E59" s="105"/>
      <c r="F59" s="106"/>
      <c r="G59" s="24">
        <f>(G53+G54-G55)*(1+'Fane 14. Nøgletal'!C14)</f>
        <v>30892386.938020147</v>
      </c>
      <c r="H59" s="14" t="s">
        <v>3</v>
      </c>
      <c r="I59" s="1"/>
    </row>
    <row r="60" spans="1:9" x14ac:dyDescent="0.25">
      <c r="A60" s="1"/>
      <c r="B60" s="104" t="s">
        <v>256</v>
      </c>
      <c r="C60" s="105"/>
      <c r="D60" s="105"/>
      <c r="E60" s="105"/>
      <c r="F60" s="106"/>
      <c r="G60" s="51">
        <v>0</v>
      </c>
      <c r="H60" s="14" t="s">
        <v>3</v>
      </c>
      <c r="I60" s="1"/>
    </row>
    <row r="61" spans="1:9" x14ac:dyDescent="0.25">
      <c r="A61" s="1"/>
      <c r="B61" s="104" t="s">
        <v>257</v>
      </c>
      <c r="C61" s="105"/>
      <c r="D61" s="105"/>
      <c r="E61" s="105"/>
      <c r="F61" s="106"/>
      <c r="G61" s="24">
        <f>(G59+G60)*'Fane 14. Nøgletal'!C24</f>
        <v>457207.32668269821</v>
      </c>
      <c r="H61" s="14" t="s">
        <v>3</v>
      </c>
      <c r="I61" s="1"/>
    </row>
    <row r="62" spans="1:9" x14ac:dyDescent="0.25">
      <c r="A62" s="1"/>
      <c r="B62" s="38"/>
      <c r="C62" s="32"/>
      <c r="D62" s="32"/>
      <c r="E62" s="32"/>
      <c r="F62" s="32"/>
      <c r="G62" s="32"/>
      <c r="H62" s="20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sheetProtection algorithmName="SHA-512" hashValue="Vkbbg6xv09usTL1TB/J9kM3Lmq64Jtv5x19A4vBz9d43LNFyUdBTC7ybdwJalERbyuqq7NFyWgSCchMGVxMmjA==" saltValue="semLqdSLHKHBWl1Y45UY7w==" spinCount="100000" sheet="1" objects="1" scenarios="1"/>
  <mergeCells count="37">
    <mergeCell ref="B1:H3"/>
    <mergeCell ref="B52:H52"/>
    <mergeCell ref="B53:F53"/>
    <mergeCell ref="B54:F54"/>
    <mergeCell ref="B55:F55"/>
    <mergeCell ref="B35:F35"/>
    <mergeCell ref="B44:F44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0:F30"/>
    <mergeCell ref="B22:H22"/>
    <mergeCell ref="B11:F11"/>
    <mergeCell ref="B23:F23"/>
    <mergeCell ref="B24:F24"/>
    <mergeCell ref="B25:F25"/>
    <mergeCell ref="B41:F41"/>
    <mergeCell ref="B28:H28"/>
    <mergeCell ref="B29:F29"/>
    <mergeCell ref="B31:F31"/>
    <mergeCell ref="B34:H34"/>
    <mergeCell ref="B36:F36"/>
    <mergeCell ref="B37:F37"/>
    <mergeCell ref="B40:H40"/>
    <mergeCell ref="B58:H58"/>
    <mergeCell ref="B59:F59"/>
    <mergeCell ref="B60:F60"/>
    <mergeCell ref="B61:F61"/>
    <mergeCell ref="B43:F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96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10</v>
      </c>
      <c r="C8" s="100"/>
      <c r="D8" s="100"/>
      <c r="E8" s="100"/>
      <c r="F8" s="100"/>
      <c r="G8" s="100"/>
      <c r="H8" s="101"/>
      <c r="I8" s="1"/>
    </row>
    <row r="9" spans="1:9" x14ac:dyDescent="0.25">
      <c r="A9" s="1"/>
      <c r="B9" s="104" t="s">
        <v>243</v>
      </c>
      <c r="C9" s="105"/>
      <c r="D9" s="105"/>
      <c r="E9" s="105"/>
      <c r="F9" s="106"/>
      <c r="G9" s="23">
        <v>4.2873239579252209E-3</v>
      </c>
      <c r="H9" s="14"/>
      <c r="I9" s="1"/>
    </row>
    <row r="10" spans="1:9" x14ac:dyDescent="0.25">
      <c r="A10" s="1"/>
      <c r="B10" s="104" t="s">
        <v>86</v>
      </c>
      <c r="C10" s="105"/>
      <c r="D10" s="105"/>
      <c r="E10" s="105"/>
      <c r="F10" s="106"/>
      <c r="G10" s="23">
        <v>1.6713330026415566E-2</v>
      </c>
      <c r="H10" s="14"/>
      <c r="I10" s="1"/>
    </row>
    <row r="11" spans="1:9" x14ac:dyDescent="0.25">
      <c r="A11" s="1"/>
      <c r="B11" s="104" t="s">
        <v>87</v>
      </c>
      <c r="C11" s="105"/>
      <c r="D11" s="105"/>
      <c r="E11" s="105"/>
      <c r="F11" s="106"/>
      <c r="G11" s="41">
        <v>0.02</v>
      </c>
      <c r="H11" s="14"/>
      <c r="I11" s="1"/>
    </row>
    <row r="12" spans="1:9" x14ac:dyDescent="0.25">
      <c r="A12" s="1"/>
      <c r="B12" s="104" t="s">
        <v>206</v>
      </c>
      <c r="C12" s="105"/>
      <c r="D12" s="105"/>
      <c r="E12" s="105"/>
      <c r="F12" s="106"/>
      <c r="G12" s="41">
        <v>8.1960160270978123E-3</v>
      </c>
      <c r="H12" s="46"/>
      <c r="I12" s="1"/>
    </row>
    <row r="13" spans="1:9" x14ac:dyDescent="0.25">
      <c r="A13" s="1"/>
      <c r="B13" s="38"/>
      <c r="C13" s="32"/>
      <c r="D13" s="32"/>
      <c r="E13" s="32"/>
      <c r="F13" s="32"/>
      <c r="G13" s="32"/>
      <c r="H13" s="20"/>
      <c r="I13" s="1"/>
    </row>
    <row r="14" spans="1:9" ht="40.5" customHeight="1" x14ac:dyDescent="0.25">
      <c r="A14" s="1"/>
      <c r="B14" s="115" t="s">
        <v>207</v>
      </c>
      <c r="C14" s="115"/>
      <c r="D14" s="115"/>
      <c r="E14" s="115"/>
      <c r="F14" s="115"/>
      <c r="G14" s="115"/>
      <c r="H14" s="115"/>
      <c r="I14" s="1"/>
    </row>
    <row r="15" spans="1:9" ht="14.25" customHeight="1" x14ac:dyDescent="0.25">
      <c r="A15" s="18"/>
      <c r="B15" s="115"/>
      <c r="C15" s="115"/>
      <c r="D15" s="115"/>
      <c r="E15" s="115"/>
      <c r="F15" s="115"/>
      <c r="G15" s="115"/>
      <c r="H15" s="115"/>
      <c r="I15" s="18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rpZLxUtT9eK6dY3zGKAMJin9TaAIkn+B9jtRaUiiC2bvnRaipqxmWzRasl3zeO4ySX6fi8WBhrK7p1erICxFmA==" saltValue="E2v59ee6m9Lc3S5gcojasg==" spinCount="100000" sheet="1" objects="1" scenarios="1"/>
  <mergeCells count="8">
    <mergeCell ref="B3:H4"/>
    <mergeCell ref="B15:H15"/>
    <mergeCell ref="B8:H8"/>
    <mergeCell ref="B10:F10"/>
    <mergeCell ref="B11:F11"/>
    <mergeCell ref="B14:H14"/>
    <mergeCell ref="B12:F12"/>
    <mergeCell ref="B9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2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8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87" t="s">
        <v>132</v>
      </c>
      <c r="C3" s="87"/>
      <c r="D3" s="87"/>
      <c r="E3" s="1"/>
      <c r="F3" s="1"/>
    </row>
    <row r="4" spans="1:6" ht="15" customHeight="1" x14ac:dyDescent="0.25">
      <c r="A4" s="1"/>
      <c r="B4" s="87"/>
      <c r="C4" s="87"/>
      <c r="D4" s="87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99" t="s">
        <v>208</v>
      </c>
      <c r="C8" s="100"/>
      <c r="D8" s="101"/>
      <c r="E8" s="1"/>
      <c r="F8" s="1"/>
    </row>
    <row r="9" spans="1:6" ht="15" customHeight="1" x14ac:dyDescent="0.25">
      <c r="A9" s="1"/>
      <c r="B9" s="31" t="s">
        <v>35</v>
      </c>
      <c r="C9" s="11" t="s">
        <v>244</v>
      </c>
      <c r="D9" s="11"/>
      <c r="E9" s="1"/>
      <c r="F9" s="1"/>
    </row>
    <row r="10" spans="1:6" ht="15" customHeight="1" x14ac:dyDescent="0.25">
      <c r="A10" s="1"/>
      <c r="B10" s="65" t="s">
        <v>262</v>
      </c>
      <c r="C10" s="9">
        <v>516639</v>
      </c>
      <c r="D10" s="14" t="s">
        <v>3</v>
      </c>
      <c r="E10" s="1"/>
      <c r="F10" s="1"/>
    </row>
    <row r="11" spans="1:6" x14ac:dyDescent="0.25">
      <c r="A11" s="1"/>
      <c r="B11" s="65" t="s">
        <v>263</v>
      </c>
      <c r="C11" s="9">
        <v>60892</v>
      </c>
      <c r="D11" s="14" t="s">
        <v>3</v>
      </c>
      <c r="E11" s="1"/>
      <c r="F11" s="1"/>
    </row>
    <row r="12" spans="1:6" x14ac:dyDescent="0.25">
      <c r="A12" s="1"/>
      <c r="B12" s="65" t="s">
        <v>264</v>
      </c>
      <c r="C12" s="9">
        <v>124836</v>
      </c>
      <c r="D12" s="14" t="s">
        <v>3</v>
      </c>
      <c r="E12" s="1"/>
      <c r="F12" s="1"/>
    </row>
    <row r="13" spans="1:6" x14ac:dyDescent="0.25">
      <c r="A13" s="1"/>
      <c r="B13" s="65" t="s">
        <v>287</v>
      </c>
      <c r="C13" s="9">
        <v>85600</v>
      </c>
      <c r="D13" s="14" t="s">
        <v>3</v>
      </c>
      <c r="E13" s="1"/>
      <c r="F13" s="1"/>
    </row>
    <row r="14" spans="1:6" x14ac:dyDescent="0.25">
      <c r="A14" s="1"/>
      <c r="B14" s="65" t="s">
        <v>265</v>
      </c>
      <c r="C14" s="9">
        <v>248677</v>
      </c>
      <c r="D14" s="14" t="s">
        <v>3</v>
      </c>
      <c r="E14" s="1"/>
      <c r="F14" s="1"/>
    </row>
    <row r="15" spans="1:6" x14ac:dyDescent="0.25">
      <c r="A15" s="1"/>
      <c r="B15" s="38" t="s">
        <v>209</v>
      </c>
      <c r="C15" s="12">
        <f>SUM(C10:C14)</f>
        <v>1036644</v>
      </c>
      <c r="D15" s="13" t="s">
        <v>3</v>
      </c>
      <c r="E15" s="1"/>
      <c r="F15" s="1"/>
    </row>
    <row r="16" spans="1:6" x14ac:dyDescent="0.25">
      <c r="A16" s="1"/>
      <c r="B16" s="38" t="s">
        <v>210</v>
      </c>
      <c r="C16" s="12">
        <f>C15*(1+'Fane 14. Nøgletal'!C14)^2</f>
        <v>1043497.1394531601</v>
      </c>
      <c r="D16" s="13" t="s">
        <v>3</v>
      </c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6"/>
      <c r="C18" s="15"/>
      <c r="D18" s="15"/>
      <c r="E18" s="1"/>
      <c r="F18" s="1"/>
    </row>
    <row r="19" spans="1:6" x14ac:dyDescent="0.25">
      <c r="A19" s="1"/>
      <c r="B19" s="99" t="s">
        <v>142</v>
      </c>
      <c r="C19" s="100"/>
      <c r="D19" s="101"/>
      <c r="E19" s="1"/>
      <c r="F19" s="1"/>
    </row>
    <row r="20" spans="1:6" x14ac:dyDescent="0.25">
      <c r="A20" s="1"/>
      <c r="B20" s="65" t="s">
        <v>116</v>
      </c>
      <c r="C20" s="9">
        <v>0</v>
      </c>
      <c r="D20" s="14" t="s">
        <v>3</v>
      </c>
      <c r="E20" s="1"/>
      <c r="F20" s="1"/>
    </row>
    <row r="21" spans="1:6" x14ac:dyDescent="0.25">
      <c r="A21" s="1"/>
      <c r="B21" s="65" t="s">
        <v>117</v>
      </c>
      <c r="C21" s="9">
        <v>0</v>
      </c>
      <c r="D21" s="14" t="s">
        <v>3</v>
      </c>
      <c r="E21" s="1"/>
      <c r="F21" s="1"/>
    </row>
    <row r="22" spans="1:6" x14ac:dyDescent="0.25">
      <c r="A22" s="1"/>
      <c r="B22" s="65" t="s">
        <v>154</v>
      </c>
      <c r="C22" s="9">
        <v>0</v>
      </c>
      <c r="D22" s="14" t="s">
        <v>3</v>
      </c>
      <c r="E22" s="1"/>
      <c r="F22" s="1"/>
    </row>
    <row r="23" spans="1:6" x14ac:dyDescent="0.25">
      <c r="A23" s="1"/>
      <c r="B23" s="65" t="s">
        <v>211</v>
      </c>
      <c r="C23" s="9">
        <v>0</v>
      </c>
      <c r="D23" s="14" t="s">
        <v>3</v>
      </c>
      <c r="E23" s="1"/>
      <c r="F23" s="1"/>
    </row>
    <row r="24" spans="1:6" x14ac:dyDescent="0.25">
      <c r="A24" s="1"/>
      <c r="B24" s="99"/>
      <c r="C24" s="100"/>
      <c r="D24" s="10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99" t="s">
        <v>115</v>
      </c>
      <c r="C27" s="100"/>
      <c r="D27" s="101"/>
      <c r="E27" s="1"/>
      <c r="F27" s="1"/>
    </row>
    <row r="28" spans="1:6" x14ac:dyDescent="0.25">
      <c r="A28" s="1"/>
      <c r="B28" s="65" t="s">
        <v>116</v>
      </c>
      <c r="C28" s="9">
        <v>660953</v>
      </c>
      <c r="D28" s="14" t="s">
        <v>3</v>
      </c>
      <c r="E28" s="1"/>
      <c r="F28" s="1"/>
    </row>
    <row r="29" spans="1:6" x14ac:dyDescent="0.25">
      <c r="A29" s="1"/>
      <c r="B29" s="65" t="s">
        <v>117</v>
      </c>
      <c r="C29" s="9">
        <v>660953</v>
      </c>
      <c r="D29" s="14" t="s">
        <v>3</v>
      </c>
      <c r="E29" s="1"/>
      <c r="F29" s="1"/>
    </row>
    <row r="30" spans="1:6" x14ac:dyDescent="0.25">
      <c r="A30" s="1"/>
      <c r="B30" s="65" t="s">
        <v>154</v>
      </c>
      <c r="C30" s="9">
        <v>0</v>
      </c>
      <c r="D30" s="14" t="s">
        <v>3</v>
      </c>
      <c r="E30" s="1"/>
      <c r="F30" s="1"/>
    </row>
    <row r="31" spans="1:6" x14ac:dyDescent="0.25">
      <c r="A31" s="1"/>
      <c r="B31" s="65" t="s">
        <v>211</v>
      </c>
      <c r="C31" s="9">
        <v>0</v>
      </c>
      <c r="D31" s="14" t="s">
        <v>3</v>
      </c>
      <c r="E31" s="1"/>
      <c r="F31" s="1"/>
    </row>
    <row r="32" spans="1:6" x14ac:dyDescent="0.25">
      <c r="A32" s="1"/>
      <c r="B32" s="99"/>
      <c r="C32" s="100"/>
      <c r="D32" s="10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</sheetData>
  <sheetProtection algorithmName="SHA-512" hashValue="stqF0AzHdqmz6qnvLjBG72gVjwlC3uJo1V1lY7Q0amGhJLYWll6uPBHC3Rbea4VD7RSyi6X05a3iUn705bbCxw==" saltValue="oMQTtReb8/iweEdzl7BqXA==" spinCount="100000" sheet="1" objects="1" scenarios="1"/>
  <mergeCells count="6">
    <mergeCell ref="B32:D32"/>
    <mergeCell ref="B3:D4"/>
    <mergeCell ref="B8:D8"/>
    <mergeCell ref="B19:D19"/>
    <mergeCell ref="B27:D27"/>
    <mergeCell ref="B24:D24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3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85546875" style="2" customWidth="1"/>
    <col min="5" max="5" width="12.2851562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2" t="s">
        <v>212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ht="15" customHeight="1" x14ac:dyDescent="0.25">
      <c r="A5" s="1"/>
      <c r="B5" s="61"/>
      <c r="C5" s="61"/>
      <c r="D5" s="61"/>
      <c r="E5" s="61"/>
      <c r="F5" s="61"/>
      <c r="G5" s="1"/>
    </row>
    <row r="6" spans="1:7" ht="15" customHeight="1" x14ac:dyDescent="0.25">
      <c r="A6" s="1"/>
      <c r="B6" s="61"/>
      <c r="C6" s="61"/>
      <c r="D6" s="61"/>
      <c r="E6" s="61"/>
      <c r="F6" s="6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267</v>
      </c>
      <c r="C8" s="100"/>
      <c r="D8" s="100"/>
      <c r="E8" s="100"/>
      <c r="F8" s="101"/>
      <c r="G8" s="1"/>
    </row>
    <row r="9" spans="1:7" x14ac:dyDescent="0.25">
      <c r="A9" s="1"/>
      <c r="B9" s="104" t="s">
        <v>268</v>
      </c>
      <c r="C9" s="105"/>
      <c r="D9" s="106"/>
      <c r="E9" s="9">
        <v>10622571.489205271</v>
      </c>
      <c r="F9" s="14" t="s">
        <v>3</v>
      </c>
      <c r="G9" s="1"/>
    </row>
    <row r="10" spans="1:7" x14ac:dyDescent="0.25">
      <c r="A10" s="1"/>
      <c r="B10" s="104" t="s">
        <v>269</v>
      </c>
      <c r="C10" s="105"/>
      <c r="D10" s="106"/>
      <c r="E10" s="9">
        <v>5268671.0930552557</v>
      </c>
      <c r="F10" s="14" t="s">
        <v>3</v>
      </c>
      <c r="G10" s="1"/>
    </row>
    <row r="11" spans="1:7" x14ac:dyDescent="0.25">
      <c r="A11" s="1"/>
      <c r="B11" s="104" t="s">
        <v>270</v>
      </c>
      <c r="C11" s="105"/>
      <c r="D11" s="106"/>
      <c r="E11" s="9">
        <v>5268671.0930552557</v>
      </c>
      <c r="F11" s="14" t="s">
        <v>3</v>
      </c>
      <c r="G11" s="1"/>
    </row>
    <row r="12" spans="1:7" x14ac:dyDescent="0.25">
      <c r="A12" s="1"/>
      <c r="B12" s="104" t="s">
        <v>271</v>
      </c>
      <c r="C12" s="105"/>
      <c r="D12" s="106"/>
      <c r="E12" s="9">
        <v>-6641348.5374542847</v>
      </c>
      <c r="F12" s="14" t="s">
        <v>3</v>
      </c>
      <c r="G12" s="1"/>
    </row>
    <row r="13" spans="1:7" x14ac:dyDescent="0.25">
      <c r="A13" s="1"/>
      <c r="B13" s="38"/>
      <c r="C13" s="32"/>
      <c r="D13" s="32"/>
      <c r="E13" s="32"/>
      <c r="F13" s="20"/>
      <c r="G13" s="1"/>
    </row>
    <row r="14" spans="1:7" ht="51.75" customHeight="1" x14ac:dyDescent="0.25">
      <c r="A14" s="1"/>
      <c r="B14" s="89" t="s">
        <v>272</v>
      </c>
      <c r="C14" s="90"/>
      <c r="D14" s="90"/>
      <c r="E14" s="90"/>
      <c r="F14" s="91"/>
      <c r="G14" s="1"/>
    </row>
    <row r="15" spans="1:7" ht="27" customHeight="1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9" t="s">
        <v>273</v>
      </c>
      <c r="C16" s="100"/>
      <c r="D16" s="100"/>
      <c r="E16" s="100"/>
      <c r="F16" s="101"/>
      <c r="G16" s="1"/>
    </row>
    <row r="17" spans="1:7" x14ac:dyDescent="0.25">
      <c r="A17" s="1"/>
      <c r="B17" s="104" t="s">
        <v>274</v>
      </c>
      <c r="C17" s="105"/>
      <c r="D17" s="106"/>
      <c r="E17" s="9">
        <v>0</v>
      </c>
      <c r="F17" s="14" t="s">
        <v>3</v>
      </c>
      <c r="G17" s="1"/>
    </row>
    <row r="18" spans="1:7" x14ac:dyDescent="0.25">
      <c r="A18" s="1"/>
      <c r="B18" s="104" t="s">
        <v>275</v>
      </c>
      <c r="C18" s="105"/>
      <c r="D18" s="106"/>
      <c r="E18" s="9">
        <v>0</v>
      </c>
      <c r="F18" s="14" t="s">
        <v>3</v>
      </c>
      <c r="G18" s="1"/>
    </row>
    <row r="19" spans="1:7" x14ac:dyDescent="0.25">
      <c r="A19" s="1"/>
      <c r="B19" s="38"/>
      <c r="C19" s="32"/>
      <c r="D19" s="32"/>
      <c r="E19" s="32"/>
      <c r="F19" s="20"/>
      <c r="G19" s="1"/>
    </row>
    <row r="20" spans="1:7" ht="29.25" customHeight="1" x14ac:dyDescent="0.25">
      <c r="A20" s="1"/>
      <c r="B20" s="89" t="s">
        <v>276</v>
      </c>
      <c r="C20" s="90"/>
      <c r="D20" s="90"/>
      <c r="E20" s="90"/>
      <c r="F20" s="9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56" t="s">
        <v>213</v>
      </c>
      <c r="C22" s="57"/>
      <c r="D22" s="57"/>
      <c r="E22" s="57"/>
      <c r="F22" s="58"/>
      <c r="G22" s="1"/>
    </row>
    <row r="23" spans="1:7" x14ac:dyDescent="0.25">
      <c r="A23" s="1"/>
      <c r="B23" s="62" t="s">
        <v>214</v>
      </c>
      <c r="C23" s="63"/>
      <c r="D23" s="64"/>
      <c r="E23" s="9">
        <v>48532090.723343596</v>
      </c>
      <c r="F23" s="14" t="s">
        <v>3</v>
      </c>
      <c r="G23" s="1"/>
    </row>
    <row r="24" spans="1:7" x14ac:dyDescent="0.25">
      <c r="A24" s="1"/>
      <c r="B24" s="62" t="s">
        <v>215</v>
      </c>
      <c r="C24" s="63"/>
      <c r="D24" s="64"/>
      <c r="E24" s="9">
        <v>52069661</v>
      </c>
      <c r="F24" s="14" t="s">
        <v>3</v>
      </c>
      <c r="G24" s="1"/>
    </row>
    <row r="25" spans="1:7" x14ac:dyDescent="0.25">
      <c r="A25" s="1"/>
      <c r="B25" s="62" t="s">
        <v>36</v>
      </c>
      <c r="C25" s="63"/>
      <c r="D25" s="64"/>
      <c r="E25" s="9">
        <v>0</v>
      </c>
      <c r="F25" s="14" t="s">
        <v>3</v>
      </c>
      <c r="G25" s="1"/>
    </row>
    <row r="26" spans="1:7" x14ac:dyDescent="0.25">
      <c r="A26" s="1"/>
      <c r="B26" s="59" t="s">
        <v>277</v>
      </c>
      <c r="C26" s="60"/>
      <c r="D26" s="67"/>
      <c r="E26" s="48">
        <f>E23-(E24-E25)</f>
        <v>-3537570.2766564041</v>
      </c>
      <c r="F26" s="17" t="s">
        <v>3</v>
      </c>
      <c r="G26" s="1"/>
    </row>
    <row r="27" spans="1:7" x14ac:dyDescent="0.25">
      <c r="A27" s="1"/>
      <c r="B27" s="38"/>
      <c r="C27" s="32"/>
      <c r="D27" s="32"/>
      <c r="E27" s="32"/>
      <c r="F27" s="20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99" t="s">
        <v>186</v>
      </c>
      <c r="C30" s="100"/>
      <c r="D30" s="100"/>
      <c r="E30" s="100"/>
      <c r="F30" s="101"/>
      <c r="G30" s="1"/>
    </row>
    <row r="31" spans="1:7" x14ac:dyDescent="0.25">
      <c r="A31" s="1"/>
      <c r="B31" s="116" t="s">
        <v>283</v>
      </c>
      <c r="C31" s="117"/>
      <c r="D31" s="118"/>
      <c r="E31" s="9">
        <v>3</v>
      </c>
      <c r="F31" s="14"/>
      <c r="G31" s="1"/>
    </row>
    <row r="32" spans="1:7" x14ac:dyDescent="0.25">
      <c r="A32" s="1"/>
      <c r="B32" s="116" t="s">
        <v>187</v>
      </c>
      <c r="C32" s="117"/>
      <c r="D32" s="118"/>
      <c r="E32" s="9">
        <f>IF(AND(E26&gt;0,E31&gt;0),0,
IF(AND(E26&lt;0,OR(E31=1,E31=3),ABS(E26)&lt;ABS(SUM(E9:E10,E12))),0,
IF(AND(E26&lt;0,OR(E31=1,E31=3),ABS(E26)&gt;ABS(SUM(E9:E10,E12))),(E26+SUM(E9:E10,E12)),
IF(AND(E26&lt;0,E31=2,ABS(E26)&lt;ABS(SUM(E10,E12))),0,
IF(AND(E26&lt;0,E31=2,ABS(E26)&gt;ABS(SUM(E10,E12))),(E26+SUM(E10,E12)),
IF(AND(E10&lt;0,E12&gt;0,E26&lt;0,ABS(E11)&gt;ABS(E12)),E26,
IF(AND(E10&lt;0,E12&gt;0,E26&lt;0,ABS(E11)&lt;ABS(E12),ABS(SUM(E11,E12))&gt;ABS(E26)),0,
IF(AND(E10&lt;0,E12&gt;0,E26&lt;0,ABS(E11)&lt;ABS(E12),ABS(SUM(E11,E12))&lt;ABS(E26)),(ABS(SUM(E11,E12))-ABS(E26)),
IF(AND(E10&gt;0,E12&gt;0,E26&lt;0,ABS(E12)&gt;ABS(E26)),0,
IF(AND(E10&gt;0,E12&gt;0,E26&lt;0,ABS(E12)&lt;ABS(E26)),(ABS(E12)-ABS(E26)),
IF(AND(E12&lt;0,E26&lt;0),E17+E18+E26,
IF(AND(E12&lt;0,E26&gt;0),E18+E17,
IF(AND(E12&gt;0,E26&gt;0),0,"Fejl")))))))))))))</f>
        <v>0</v>
      </c>
      <c r="F32" s="14" t="s">
        <v>3</v>
      </c>
      <c r="G32" s="1"/>
    </row>
    <row r="33" spans="1:7" x14ac:dyDescent="0.25">
      <c r="A33" s="1"/>
      <c r="B33" s="116" t="s">
        <v>120</v>
      </c>
      <c r="C33" s="117"/>
      <c r="D33" s="118"/>
      <c r="E33" s="9">
        <v>2</v>
      </c>
      <c r="F33" s="14" t="s">
        <v>21</v>
      </c>
      <c r="G33" s="1"/>
    </row>
    <row r="34" spans="1:7" x14ac:dyDescent="0.25">
      <c r="A34" s="1"/>
      <c r="B34" s="119" t="s">
        <v>188</v>
      </c>
      <c r="C34" s="119"/>
      <c r="D34" s="119"/>
      <c r="E34" s="10">
        <f>E32/E33</f>
        <v>0</v>
      </c>
      <c r="F34" s="17" t="s">
        <v>3</v>
      </c>
      <c r="G34" s="1"/>
    </row>
    <row r="35" spans="1:7" x14ac:dyDescent="0.25">
      <c r="A35" s="1"/>
      <c r="B35" s="120"/>
      <c r="C35" s="121"/>
      <c r="D35" s="121"/>
      <c r="E35" s="121"/>
      <c r="F35" s="122"/>
      <c r="G35" s="1"/>
    </row>
    <row r="36" spans="1:7" ht="75" customHeight="1" x14ac:dyDescent="0.25">
      <c r="A36" s="1"/>
      <c r="B36" s="89" t="s">
        <v>282</v>
      </c>
      <c r="C36" s="90"/>
      <c r="D36" s="90"/>
      <c r="E36" s="90"/>
      <c r="F36" s="9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sheetProtection algorithmName="SHA-512" hashValue="/Ia1AZXUyMACKcMyp3gKBbXs2bJffywbLS8clbZXC3mTLFjzKVuwhOS4+Pi6pHL8HMeoB9+X90KqAcAlAt7PBA==" saltValue="Ulu0RuUPg3BGhQZukzNOzQ==" spinCount="100000" sheet="1" objects="1" scenarios="1"/>
  <mergeCells count="18">
    <mergeCell ref="B20:F20"/>
    <mergeCell ref="B30:F30"/>
    <mergeCell ref="B31:D31"/>
    <mergeCell ref="B3:F4"/>
    <mergeCell ref="B16:F16"/>
    <mergeCell ref="B17:D17"/>
    <mergeCell ref="B18:D18"/>
    <mergeCell ref="B8:F8"/>
    <mergeCell ref="B9:D9"/>
    <mergeCell ref="B10:D10"/>
    <mergeCell ref="B11:D11"/>
    <mergeCell ref="B12:D12"/>
    <mergeCell ref="B14:F14"/>
    <mergeCell ref="B32:D32"/>
    <mergeCell ref="B33:D33"/>
    <mergeCell ref="B34:D34"/>
    <mergeCell ref="B35:F35"/>
    <mergeCell ref="B36:F36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5.5703125" style="2" customWidth="1"/>
    <col min="5" max="5" width="12.7109375" style="2" bestFit="1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2" t="s">
        <v>216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99" t="s">
        <v>217</v>
      </c>
      <c r="C9" s="100"/>
      <c r="D9" s="100"/>
      <c r="E9" s="100"/>
      <c r="F9" s="101"/>
      <c r="G9" s="1"/>
    </row>
    <row r="10" spans="1:7" x14ac:dyDescent="0.25">
      <c r="A10" s="1"/>
      <c r="B10" s="89" t="s">
        <v>118</v>
      </c>
      <c r="C10" s="90"/>
      <c r="D10" s="91"/>
      <c r="E10" s="7">
        <v>0</v>
      </c>
      <c r="F10" s="8" t="s">
        <v>3</v>
      </c>
      <c r="G10" s="1"/>
    </row>
    <row r="11" spans="1:7" x14ac:dyDescent="0.25">
      <c r="A11" s="1"/>
      <c r="B11" s="104" t="s">
        <v>218</v>
      </c>
      <c r="C11" s="105"/>
      <c r="D11" s="106"/>
      <c r="E11" s="7">
        <v>0</v>
      </c>
      <c r="F11" s="8" t="s">
        <v>3</v>
      </c>
      <c r="G11" s="1"/>
    </row>
    <row r="12" spans="1:7" x14ac:dyDescent="0.25">
      <c r="A12" s="1"/>
      <c r="B12" s="102" t="s">
        <v>119</v>
      </c>
      <c r="C12" s="103"/>
      <c r="D12" s="123"/>
      <c r="E12" s="10">
        <f>E11-E10</f>
        <v>0</v>
      </c>
      <c r="F12" s="11" t="s">
        <v>3</v>
      </c>
      <c r="G12" s="1"/>
    </row>
    <row r="13" spans="1:7" x14ac:dyDescent="0.25">
      <c r="A13" s="1"/>
      <c r="B13" s="99" t="s">
        <v>109</v>
      </c>
      <c r="C13" s="100"/>
      <c r="D13" s="100"/>
      <c r="E13" s="100"/>
      <c r="F13" s="101"/>
      <c r="G13" s="1"/>
    </row>
    <row r="14" spans="1:7" x14ac:dyDescent="0.25">
      <c r="A14" s="1"/>
      <c r="B14" s="104" t="s">
        <v>219</v>
      </c>
      <c r="C14" s="105"/>
      <c r="D14" s="106"/>
      <c r="E14" s="9">
        <v>739675</v>
      </c>
      <c r="F14" s="8" t="s">
        <v>3</v>
      </c>
      <c r="G14" s="1"/>
    </row>
    <row r="15" spans="1:7" x14ac:dyDescent="0.25">
      <c r="A15" s="1"/>
      <c r="B15" s="89" t="s">
        <v>220</v>
      </c>
      <c r="C15" s="90"/>
      <c r="D15" s="91"/>
      <c r="E15" s="9">
        <v>0</v>
      </c>
      <c r="F15" s="8" t="s">
        <v>3</v>
      </c>
      <c r="G15" s="1"/>
    </row>
    <row r="16" spans="1:7" x14ac:dyDescent="0.25">
      <c r="A16" s="1"/>
      <c r="B16" s="102" t="s">
        <v>119</v>
      </c>
      <c r="C16" s="103"/>
      <c r="D16" s="123"/>
      <c r="E16" s="10">
        <f>E15-E14</f>
        <v>-739675</v>
      </c>
      <c r="F16" s="11" t="s">
        <v>3</v>
      </c>
      <c r="G16" s="1"/>
    </row>
    <row r="17" spans="1:7" x14ac:dyDescent="0.25">
      <c r="A17" s="1"/>
      <c r="B17" s="38" t="s">
        <v>221</v>
      </c>
      <c r="C17" s="32"/>
      <c r="D17" s="32"/>
      <c r="E17" s="12">
        <f>E12+E16</f>
        <v>-739675</v>
      </c>
      <c r="F17" s="13" t="s">
        <v>3</v>
      </c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bXpa1XWfejb2V4lyh8qjlqx7treVhjG9ZuunzuXJd00jEmoHwCu2lPwakyfOimAtY4NsmgUr9cANTq8AWvw6Ig==" saltValue="dNgsOg4/1hks/LiIVYoMog==" spinCount="100000" sheet="1" objects="1" scenarios="1"/>
  <mergeCells count="9">
    <mergeCell ref="B13:F13"/>
    <mergeCell ref="B16:D16"/>
    <mergeCell ref="B3:F4"/>
    <mergeCell ref="B10:D10"/>
    <mergeCell ref="B11:D11"/>
    <mergeCell ref="B14:D14"/>
    <mergeCell ref="B15:D15"/>
    <mergeCell ref="B9:F9"/>
    <mergeCell ref="B12:D12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7" t="s">
        <v>177</v>
      </c>
      <c r="C3" s="87"/>
      <c r="D3" s="87"/>
      <c r="E3" s="87"/>
      <c r="F3" s="87"/>
      <c r="G3" s="87"/>
      <c r="H3" s="87"/>
      <c r="I3" s="1"/>
    </row>
    <row r="4" spans="1:9" ht="15" customHeight="1" x14ac:dyDescent="0.25">
      <c r="A4" s="1"/>
      <c r="B4" s="87"/>
      <c r="C4" s="87"/>
      <c r="D4" s="87"/>
      <c r="E4" s="87"/>
      <c r="F4" s="87"/>
      <c r="G4" s="87"/>
      <c r="H4" s="8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178</v>
      </c>
      <c r="C8" s="100"/>
      <c r="D8" s="100"/>
      <c r="E8" s="100"/>
      <c r="F8" s="100"/>
      <c r="G8" s="100"/>
      <c r="H8" s="101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11</v>
      </c>
      <c r="E9" s="11" t="s">
        <v>2</v>
      </c>
      <c r="F9" s="11" t="s">
        <v>12</v>
      </c>
      <c r="G9" s="11" t="s">
        <v>33</v>
      </c>
      <c r="H9" s="37"/>
      <c r="I9" s="1"/>
    </row>
    <row r="10" spans="1:9" x14ac:dyDescent="0.25">
      <c r="A10" s="1"/>
      <c r="B10" s="68" t="s">
        <v>284</v>
      </c>
      <c r="C10" s="49">
        <v>0</v>
      </c>
      <c r="D10" s="9">
        <v>0</v>
      </c>
      <c r="E10" s="9">
        <f t="shared" ref="E10" si="0">IFERROR(D10/C10,0)</f>
        <v>0</v>
      </c>
      <c r="F10" s="9">
        <v>0</v>
      </c>
      <c r="G10" s="9">
        <v>0</v>
      </c>
      <c r="H10" s="14" t="s">
        <v>3</v>
      </c>
      <c r="I10" s="1"/>
    </row>
    <row r="11" spans="1:9" x14ac:dyDescent="0.25">
      <c r="A11" s="1"/>
      <c r="B11" s="99" t="s">
        <v>179</v>
      </c>
      <c r="C11" s="100"/>
      <c r="D11" s="101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o0e6XWWId4p59S4zUhguh6tcAy6f5608aCNLSDr0SIo7XSedEPRY8GQCTJP4j4F2MzDajiVedMjY9mG+Z9DEZQ==" saltValue="uV4LN3zbw4WrpjIF5g0nL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135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88</v>
      </c>
      <c r="C8" s="32"/>
      <c r="D8" s="32"/>
      <c r="E8" s="32"/>
      <c r="F8" s="20"/>
      <c r="G8" s="1"/>
    </row>
    <row r="9" spans="1:7" ht="17.25" customHeight="1" x14ac:dyDescent="0.25">
      <c r="A9" s="1"/>
      <c r="B9" s="54" t="s">
        <v>18</v>
      </c>
      <c r="C9" s="54" t="s">
        <v>12</v>
      </c>
      <c r="D9" s="55"/>
      <c r="E9" s="54" t="s">
        <v>34</v>
      </c>
      <c r="F9" s="37"/>
      <c r="G9" s="1"/>
    </row>
    <row r="10" spans="1:7" x14ac:dyDescent="0.25">
      <c r="A10" s="1"/>
      <c r="B10" s="25" t="s">
        <v>180</v>
      </c>
      <c r="C10" s="22">
        <f>'Fane 9. Anlægsprojekter'!F11</f>
        <v>0</v>
      </c>
      <c r="D10" s="14" t="s">
        <v>3</v>
      </c>
      <c r="E10" s="9">
        <f>SUM('Fane 9. Anlægsprojekter'!E11,'Fane 9. Anlægsprojekter'!G11)</f>
        <v>0</v>
      </c>
      <c r="F10" s="14" t="s">
        <v>3</v>
      </c>
      <c r="G10" s="1"/>
    </row>
    <row r="11" spans="1:7" x14ac:dyDescent="0.25">
      <c r="A11" s="1"/>
      <c r="B11" s="25" t="s">
        <v>280</v>
      </c>
      <c r="C11" s="22">
        <v>0</v>
      </c>
      <c r="D11" s="14" t="s">
        <v>3</v>
      </c>
      <c r="E11" s="9">
        <v>960586</v>
      </c>
      <c r="F11" s="14" t="s">
        <v>3</v>
      </c>
      <c r="G11" s="1"/>
    </row>
    <row r="12" spans="1:7" x14ac:dyDescent="0.25">
      <c r="A12" s="1"/>
      <c r="B12" s="47" t="s">
        <v>279</v>
      </c>
      <c r="C12" s="22">
        <v>211597</v>
      </c>
      <c r="D12" s="14" t="s">
        <v>3</v>
      </c>
      <c r="E12" s="9">
        <v>302506</v>
      </c>
      <c r="F12" s="14" t="s">
        <v>3</v>
      </c>
      <c r="G12" s="1"/>
    </row>
    <row r="13" spans="1:7" x14ac:dyDescent="0.25">
      <c r="A13" s="1"/>
      <c r="B13" s="38" t="s">
        <v>163</v>
      </c>
      <c r="C13" s="12">
        <f>SUM(C10:C12)</f>
        <v>211597</v>
      </c>
      <c r="D13" s="13" t="s">
        <v>3</v>
      </c>
      <c r="E13" s="12">
        <f>SUM(E10:E12)</f>
        <v>1263092</v>
      </c>
      <c r="F13" s="13" t="s">
        <v>3</v>
      </c>
      <c r="G13" s="1"/>
    </row>
    <row r="14" spans="1:7" x14ac:dyDescent="0.25">
      <c r="A14" s="1"/>
      <c r="B14" s="38" t="s">
        <v>222</v>
      </c>
      <c r="C14" s="12">
        <f>C13*(1+'Fane 14. Nøgletal'!C14)</f>
        <v>212295.27010000002</v>
      </c>
      <c r="D14" s="13" t="s">
        <v>3</v>
      </c>
      <c r="E14" s="12">
        <f>E13*(1+'Fane 14. Nøgletal'!C14)</f>
        <v>1267260.2036000001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kahD27V18/LBOG1tw+nyJW0Fabc2tncc7ZHhgKge3ZCc7CyYZn6Yar9ytcnuiqpj6Q+bAPJcZupAyLtMmGrB1Q==" saltValue="VcK+CLobxylCWtqH9dZ6k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42578125" style="2" bestFit="1" customWidth="1"/>
    <col min="5" max="5" width="17.7109375" style="2" bestFit="1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7" t="s">
        <v>134</v>
      </c>
      <c r="C3" s="87"/>
      <c r="D3" s="87"/>
      <c r="E3" s="87"/>
      <c r="F3" s="87"/>
      <c r="G3" s="1"/>
    </row>
    <row r="4" spans="1:7" ht="15" customHeight="1" x14ac:dyDescent="0.25">
      <c r="A4" s="1"/>
      <c r="B4" s="87"/>
      <c r="C4" s="87"/>
      <c r="D4" s="87"/>
      <c r="E4" s="87"/>
      <c r="F4" s="8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112</v>
      </c>
      <c r="C8" s="100"/>
      <c r="D8" s="100"/>
      <c r="E8" s="100"/>
      <c r="F8" s="101"/>
      <c r="G8" s="1"/>
    </row>
    <row r="9" spans="1:7" x14ac:dyDescent="0.25">
      <c r="A9" s="1"/>
      <c r="B9" s="54" t="s">
        <v>18</v>
      </c>
      <c r="C9" s="54" t="s">
        <v>12</v>
      </c>
      <c r="D9" s="55"/>
      <c r="E9" s="54" t="s">
        <v>34</v>
      </c>
      <c r="F9" s="37"/>
      <c r="G9" s="1"/>
    </row>
    <row r="10" spans="1:7" x14ac:dyDescent="0.25">
      <c r="A10" s="1"/>
      <c r="B10" s="25" t="s">
        <v>281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223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10</v>
      </c>
      <c r="C12" s="28">
        <f>-C11*'Fane 5. Individuelt eff. krav'!G12</f>
        <v>0</v>
      </c>
      <c r="D12" s="29" t="s">
        <v>3</v>
      </c>
      <c r="E12" s="28">
        <f>-E11*'Fane 5. Individuelt eff. krav'!G12</f>
        <v>0</v>
      </c>
      <c r="F12" s="29" t="s">
        <v>3</v>
      </c>
      <c r="G12" s="1"/>
    </row>
    <row r="13" spans="1:7" x14ac:dyDescent="0.25">
      <c r="A13" s="1"/>
      <c r="B13" s="27" t="s">
        <v>114</v>
      </c>
      <c r="C13" s="28">
        <f>-C11*'Fane 14. Nøgletal'!C29</f>
        <v>0</v>
      </c>
      <c r="D13" s="29" t="s">
        <v>3</v>
      </c>
      <c r="E13" s="28">
        <f>-E11*'Fane 14. Nøgletal'!C24</f>
        <v>0</v>
      </c>
      <c r="F13" s="29" t="s">
        <v>3</v>
      </c>
      <c r="G13" s="1"/>
    </row>
    <row r="14" spans="1:7" x14ac:dyDescent="0.25">
      <c r="A14" s="1"/>
      <c r="B14" s="38" t="s">
        <v>164</v>
      </c>
      <c r="C14" s="12">
        <f>SUM(C11:C13)*(1+'Fane 14. Nøgletal'!C14)^2</f>
        <v>0</v>
      </c>
      <c r="D14" s="13" t="s">
        <v>3</v>
      </c>
      <c r="E14" s="12">
        <f>SUM(E11:E13)*(1+'Fane 14. Nøgletal'!C14)^2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9" t="s">
        <v>113</v>
      </c>
      <c r="C16" s="100"/>
      <c r="D16" s="100"/>
      <c r="E16" s="100"/>
      <c r="F16" s="101"/>
      <c r="G16" s="1"/>
    </row>
    <row r="17" spans="1:7" x14ac:dyDescent="0.25">
      <c r="A17" s="1"/>
      <c r="B17" s="54" t="s">
        <v>18</v>
      </c>
      <c r="C17" s="54" t="s">
        <v>12</v>
      </c>
      <c r="D17" s="55"/>
      <c r="E17" s="54" t="s">
        <v>34</v>
      </c>
      <c r="F17" s="37"/>
      <c r="G17" s="1"/>
    </row>
    <row r="18" spans="1:7" x14ac:dyDescent="0.25">
      <c r="A18" s="1"/>
      <c r="B18" s="25" t="s">
        <v>281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8" t="s">
        <v>223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10</v>
      </c>
      <c r="C20" s="28">
        <f>-C19*'Fane 5. Individuelt eff. krav'!G12</f>
        <v>0</v>
      </c>
      <c r="D20" s="29" t="s">
        <v>3</v>
      </c>
      <c r="E20" s="28">
        <f>-E19*'Fane 5. Individuelt eff. krav'!G12</f>
        <v>0</v>
      </c>
      <c r="F20" s="29" t="s">
        <v>3</v>
      </c>
      <c r="G20" s="1"/>
    </row>
    <row r="21" spans="1:7" x14ac:dyDescent="0.25">
      <c r="A21" s="1"/>
      <c r="B21" s="27" t="s">
        <v>114</v>
      </c>
      <c r="C21" s="28">
        <f>-C19*'Fane 14. Nøgletal'!C29</f>
        <v>0</v>
      </c>
      <c r="D21" s="29" t="s">
        <v>3</v>
      </c>
      <c r="E21" s="28">
        <f>-E19*'Fane 14. Nøgletal'!C24</f>
        <v>0</v>
      </c>
      <c r="F21" s="29" t="s">
        <v>3</v>
      </c>
      <c r="G21" s="1"/>
    </row>
    <row r="22" spans="1:7" x14ac:dyDescent="0.25">
      <c r="A22" s="1"/>
      <c r="B22" s="38" t="s">
        <v>165</v>
      </c>
      <c r="C22" s="12">
        <f>SUM(C19:C21)*(1+'Fane 14. Nøgletal'!C14)^3</f>
        <v>0</v>
      </c>
      <c r="D22" s="13" t="s">
        <v>3</v>
      </c>
      <c r="E22" s="12">
        <f>SUM(E19:E21)*(1+'Fane 14. Nøgletal'!C14)^3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99" t="s">
        <v>166</v>
      </c>
      <c r="C24" s="100"/>
      <c r="D24" s="100"/>
      <c r="E24" s="100"/>
      <c r="F24" s="101"/>
      <c r="G24" s="1"/>
    </row>
    <row r="25" spans="1:7" x14ac:dyDescent="0.25">
      <c r="A25" s="1"/>
      <c r="B25" s="54" t="s">
        <v>18</v>
      </c>
      <c r="C25" s="54" t="s">
        <v>12</v>
      </c>
      <c r="D25" s="55"/>
      <c r="E25" s="54" t="s">
        <v>34</v>
      </c>
      <c r="F25" s="37"/>
      <c r="G25" s="1"/>
    </row>
    <row r="26" spans="1:7" x14ac:dyDescent="0.25">
      <c r="A26" s="1"/>
      <c r="B26" s="25" t="s">
        <v>281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8" t="s">
        <v>223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10</v>
      </c>
      <c r="C28" s="28">
        <f>-C27*'Fane 5. Individuelt eff. krav'!G12</f>
        <v>0</v>
      </c>
      <c r="D28" s="29" t="s">
        <v>3</v>
      </c>
      <c r="E28" s="28">
        <f>-E27*'Fane 5. Individuelt eff. krav'!G12</f>
        <v>0</v>
      </c>
      <c r="F28" s="29" t="s">
        <v>3</v>
      </c>
      <c r="G28" s="1"/>
    </row>
    <row r="29" spans="1:7" x14ac:dyDescent="0.25">
      <c r="A29" s="1"/>
      <c r="B29" s="27" t="s">
        <v>114</v>
      </c>
      <c r="C29" s="28">
        <f>-C27*'Fane 14. Nøgletal'!C29</f>
        <v>0</v>
      </c>
      <c r="D29" s="29" t="s">
        <v>3</v>
      </c>
      <c r="E29" s="28">
        <f>-E27*'Fane 14. Nøgletal'!C24</f>
        <v>0</v>
      </c>
      <c r="F29" s="29" t="s">
        <v>3</v>
      </c>
      <c r="G29" s="1"/>
    </row>
    <row r="30" spans="1:7" x14ac:dyDescent="0.25">
      <c r="A30" s="1"/>
      <c r="B30" s="38" t="s">
        <v>167</v>
      </c>
      <c r="C30" s="12">
        <f>SUM(C27:C29)*(1+'Fane 14. Nøgletal'!C14)^4</f>
        <v>0</v>
      </c>
      <c r="D30" s="13" t="s">
        <v>3</v>
      </c>
      <c r="E30" s="12">
        <f>SUM(E27:E29)*(1+'Fane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99" t="s">
        <v>224</v>
      </c>
      <c r="C32" s="100"/>
      <c r="D32" s="100"/>
      <c r="E32" s="100"/>
      <c r="F32" s="101"/>
      <c r="G32" s="1"/>
    </row>
    <row r="33" spans="1:7" x14ac:dyDescent="0.25">
      <c r="A33" s="1"/>
      <c r="B33" s="54" t="s">
        <v>18</v>
      </c>
      <c r="C33" s="54" t="s">
        <v>12</v>
      </c>
      <c r="D33" s="55"/>
      <c r="E33" s="54" t="s">
        <v>34</v>
      </c>
      <c r="F33" s="37"/>
      <c r="G33" s="1"/>
    </row>
    <row r="34" spans="1:7" x14ac:dyDescent="0.25">
      <c r="A34" s="1"/>
      <c r="B34" s="25" t="s">
        <v>281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8" t="s">
        <v>223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10</v>
      </c>
      <c r="C36" s="28">
        <f>-C35*'Fane 5. Individuelt eff. krav'!G12</f>
        <v>0</v>
      </c>
      <c r="D36" s="29" t="s">
        <v>3</v>
      </c>
      <c r="E36" s="28">
        <f>-E35*'Fane 5. Individuelt eff. krav'!G12</f>
        <v>0</v>
      </c>
      <c r="F36" s="29" t="s">
        <v>3</v>
      </c>
      <c r="G36" s="1"/>
    </row>
    <row r="37" spans="1:7" x14ac:dyDescent="0.25">
      <c r="A37" s="1"/>
      <c r="B37" s="27" t="s">
        <v>114</v>
      </c>
      <c r="C37" s="28">
        <f>-C35*'Fane 14. Nøgletal'!C29</f>
        <v>0</v>
      </c>
      <c r="D37" s="29" t="s">
        <v>3</v>
      </c>
      <c r="E37" s="28">
        <f>-E35*'Fane 14. Nøgletal'!C24</f>
        <v>0</v>
      </c>
      <c r="F37" s="29" t="s">
        <v>3</v>
      </c>
      <c r="G37" s="1"/>
    </row>
    <row r="38" spans="1:7" x14ac:dyDescent="0.25">
      <c r="A38" s="1"/>
      <c r="B38" s="38" t="s">
        <v>225</v>
      </c>
      <c r="C38" s="12">
        <f>SUM(C35:C37)*(1+'Fane 14. Nøgletal'!C14)^5</f>
        <v>0</v>
      </c>
      <c r="D38" s="13" t="s">
        <v>3</v>
      </c>
      <c r="E38" s="12">
        <f>SUM(E35:E37)*(1+'Fane 14. Nøgletal'!C14)^5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CKAXar+fIpJa8mG/kZl6pdTPrqKiWFrobWNrE6Ax1Bjr4fsYMsHaJiBLXh/CmFYhuApmuDKsMQaL772qeoqCMQ==" saltValue="JP/tiBAA4jJRMSLSRgXXQw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136</v>
      </c>
      <c r="C3" s="92"/>
      <c r="D3" s="92"/>
      <c r="E3" s="92"/>
      <c r="F3" s="92"/>
      <c r="G3" s="1"/>
    </row>
    <row r="4" spans="1:7" ht="1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92"/>
      <c r="C5" s="92"/>
      <c r="D5" s="92"/>
      <c r="E5" s="92"/>
      <c r="F5" s="92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103</v>
      </c>
      <c r="C8" s="100"/>
      <c r="D8" s="100"/>
      <c r="E8" s="100"/>
      <c r="F8" s="101"/>
      <c r="G8" s="1"/>
    </row>
    <row r="9" spans="1:7" x14ac:dyDescent="0.25">
      <c r="A9" s="1"/>
      <c r="B9" s="124" t="s">
        <v>226</v>
      </c>
      <c r="C9" s="125"/>
      <c r="D9" s="126"/>
      <c r="E9" s="9">
        <v>0</v>
      </c>
      <c r="F9" s="14" t="s">
        <v>3</v>
      </c>
      <c r="G9" s="1"/>
    </row>
    <row r="10" spans="1:7" x14ac:dyDescent="0.25">
      <c r="A10" s="1"/>
      <c r="B10" s="93" t="s">
        <v>10</v>
      </c>
      <c r="C10" s="94"/>
      <c r="D10" s="95"/>
      <c r="E10" s="9">
        <f>-E9*'Fane 5. Individuelt eff. krav'!G12</f>
        <v>0</v>
      </c>
      <c r="F10" s="14" t="s">
        <v>3</v>
      </c>
      <c r="G10" s="1"/>
    </row>
    <row r="11" spans="1:7" x14ac:dyDescent="0.25">
      <c r="A11" s="1"/>
      <c r="B11" s="93" t="s">
        <v>26</v>
      </c>
      <c r="C11" s="94"/>
      <c r="D11" s="95"/>
      <c r="E11" s="9">
        <f>-E9*'Fane 14. Nøgletal'!C29</f>
        <v>0</v>
      </c>
      <c r="F11" s="14" t="s">
        <v>3</v>
      </c>
      <c r="G11" s="1"/>
    </row>
    <row r="12" spans="1:7" x14ac:dyDescent="0.25">
      <c r="A12" s="1"/>
      <c r="B12" s="99" t="s">
        <v>105</v>
      </c>
      <c r="C12" s="100"/>
      <c r="D12" s="101"/>
      <c r="E12" s="12">
        <f>SUM(E9:E11)*(1+'Fane 14. Nøgletal'!C14)^2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9" t="s">
        <v>104</v>
      </c>
      <c r="C14" s="100"/>
      <c r="D14" s="100"/>
      <c r="E14" s="100"/>
      <c r="F14" s="101"/>
      <c r="G14" s="1"/>
    </row>
    <row r="15" spans="1:7" ht="15" customHeight="1" x14ac:dyDescent="0.25">
      <c r="A15" s="1"/>
      <c r="B15" s="124" t="s">
        <v>226</v>
      </c>
      <c r="C15" s="125"/>
      <c r="D15" s="126"/>
      <c r="E15" s="9">
        <v>0</v>
      </c>
      <c r="F15" s="14" t="s">
        <v>3</v>
      </c>
      <c r="G15" s="1"/>
    </row>
    <row r="16" spans="1:7" x14ac:dyDescent="0.25">
      <c r="A16" s="1"/>
      <c r="B16" s="93" t="s">
        <v>10</v>
      </c>
      <c r="C16" s="94"/>
      <c r="D16" s="95"/>
      <c r="E16" s="9">
        <f>-E15*'Fane 5. Individuelt eff. krav'!G12</f>
        <v>0</v>
      </c>
      <c r="F16" s="14" t="s">
        <v>3</v>
      </c>
      <c r="G16" s="1"/>
    </row>
    <row r="17" spans="1:7" x14ac:dyDescent="0.25">
      <c r="A17" s="1"/>
      <c r="B17" s="93" t="s">
        <v>26</v>
      </c>
      <c r="C17" s="94"/>
      <c r="D17" s="95"/>
      <c r="E17" s="9">
        <f>-E15*'Fane 14. Nøgletal'!C29</f>
        <v>0</v>
      </c>
      <c r="F17" s="14" t="s">
        <v>3</v>
      </c>
      <c r="G17" s="1"/>
    </row>
    <row r="18" spans="1:7" x14ac:dyDescent="0.25">
      <c r="A18" s="1"/>
      <c r="B18" s="99" t="s">
        <v>106</v>
      </c>
      <c r="C18" s="100"/>
      <c r="D18" s="101"/>
      <c r="E18" s="12">
        <f>SUM(E15:E17)*(1+'Fane 14. Nøgletal'!C14)^3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9" t="s">
        <v>155</v>
      </c>
      <c r="C20" s="100"/>
      <c r="D20" s="100"/>
      <c r="E20" s="100"/>
      <c r="F20" s="101"/>
      <c r="G20" s="1"/>
    </row>
    <row r="21" spans="1:7" ht="15" customHeight="1" x14ac:dyDescent="0.25">
      <c r="A21" s="1"/>
      <c r="B21" s="124" t="s">
        <v>226</v>
      </c>
      <c r="C21" s="125"/>
      <c r="D21" s="126"/>
      <c r="E21" s="9">
        <v>0</v>
      </c>
      <c r="F21" s="14" t="s">
        <v>3</v>
      </c>
      <c r="G21" s="1"/>
    </row>
    <row r="22" spans="1:7" x14ac:dyDescent="0.25">
      <c r="A22" s="1"/>
      <c r="B22" s="93" t="s">
        <v>10</v>
      </c>
      <c r="C22" s="94"/>
      <c r="D22" s="95"/>
      <c r="E22" s="9">
        <f>-E21*'Fane 5. Individuelt eff. krav'!G12</f>
        <v>0</v>
      </c>
      <c r="F22" s="14" t="s">
        <v>3</v>
      </c>
      <c r="G22" s="1"/>
    </row>
    <row r="23" spans="1:7" x14ac:dyDescent="0.25">
      <c r="A23" s="1"/>
      <c r="B23" s="93" t="s">
        <v>26</v>
      </c>
      <c r="C23" s="94"/>
      <c r="D23" s="95"/>
      <c r="E23" s="9">
        <f>-E21*'Fane 14. Nøgletal'!C29</f>
        <v>0</v>
      </c>
      <c r="F23" s="14" t="s">
        <v>3</v>
      </c>
      <c r="G23" s="1"/>
    </row>
    <row r="24" spans="1:7" x14ac:dyDescent="0.25">
      <c r="A24" s="1"/>
      <c r="B24" s="99" t="s">
        <v>156</v>
      </c>
      <c r="C24" s="100"/>
      <c r="D24" s="101"/>
      <c r="E24" s="12">
        <f>SUM(E21:E23)*(1+'Fane 14. Nøgletal'!C14)^4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9" t="s">
        <v>227</v>
      </c>
      <c r="C26" s="100"/>
      <c r="D26" s="100"/>
      <c r="E26" s="100"/>
      <c r="F26" s="101"/>
      <c r="G26" s="1"/>
    </row>
    <row r="27" spans="1:7" ht="15" customHeight="1" x14ac:dyDescent="0.25">
      <c r="A27" s="1"/>
      <c r="B27" s="124" t="s">
        <v>226</v>
      </c>
      <c r="C27" s="125"/>
      <c r="D27" s="126"/>
      <c r="E27" s="9">
        <v>0</v>
      </c>
      <c r="F27" s="14" t="s">
        <v>3</v>
      </c>
      <c r="G27" s="1"/>
    </row>
    <row r="28" spans="1:7" x14ac:dyDescent="0.25">
      <c r="A28" s="1"/>
      <c r="B28" s="93" t="s">
        <v>10</v>
      </c>
      <c r="C28" s="94"/>
      <c r="D28" s="95"/>
      <c r="E28" s="9">
        <f>-E27*'Fane 5. Individuelt eff. krav'!G12</f>
        <v>0</v>
      </c>
      <c r="F28" s="14" t="s">
        <v>3</v>
      </c>
      <c r="G28" s="1"/>
    </row>
    <row r="29" spans="1:7" x14ac:dyDescent="0.25">
      <c r="A29" s="1"/>
      <c r="B29" s="93" t="s">
        <v>26</v>
      </c>
      <c r="C29" s="94"/>
      <c r="D29" s="95"/>
      <c r="E29" s="9">
        <f>-E27*'Fane 14. Nøgletal'!C29</f>
        <v>0</v>
      </c>
      <c r="F29" s="14" t="s">
        <v>3</v>
      </c>
      <c r="G29" s="1"/>
    </row>
    <row r="30" spans="1:7" x14ac:dyDescent="0.25">
      <c r="A30" s="1"/>
      <c r="B30" s="99" t="s">
        <v>228</v>
      </c>
      <c r="C30" s="100"/>
      <c r="D30" s="101"/>
      <c r="E30" s="12">
        <f>SUM(E27:E29)*(1+'Fane 14. Nøgletal'!C14)^5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eNgNeKTEzSt/e6wWQJ90CTCZpSQjB+obwMBAcI0kqO7MaCh0TQbkPZngmyVggvC2n30NnspyjkVxQf+o/nzI/A==" saltValue="jIAXX0VX+wizG2REYzWCEQ==" spinCount="100000" sheet="1" objects="1" scenarios="1"/>
  <mergeCells count="21"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3:F5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36.42578125" style="2" customWidth="1"/>
    <col min="3" max="3" width="15.5703125" style="2" customWidth="1"/>
    <col min="4" max="4" width="3.28515625" style="2" customWidth="1"/>
    <col min="5" max="5" width="17.1406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157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158</v>
      </c>
      <c r="C8" s="100"/>
      <c r="D8" s="100"/>
      <c r="E8" s="100"/>
      <c r="F8" s="101"/>
      <c r="G8" s="1"/>
    </row>
    <row r="9" spans="1:7" ht="15" customHeight="1" x14ac:dyDescent="0.25">
      <c r="A9" s="1"/>
      <c r="B9" s="36" t="s">
        <v>159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261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168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229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HRxpXtLkQ4bUF+kJkPT91OuuRg2f6c+Xnq/MGOJp2tUJVVe2xgkZIKTB4RcjpGXUJPFfMw5HDVh0Qd7JVNeb/A==" saltValue="FWPyysE7w7Y8XD3k5rEbTA==" spinCount="100000" sheet="1" objects="1" scenarios="1"/>
  <mergeCells count="2">
    <mergeCell ref="B3:F4"/>
    <mergeCell ref="B8:F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2" t="s">
        <v>133</v>
      </c>
      <c r="C3" s="92"/>
      <c r="D3" s="92"/>
      <c r="E3" s="92"/>
      <c r="F3" s="92"/>
      <c r="G3" s="1"/>
    </row>
    <row r="4" spans="1:7" ht="25.5" customHeight="1" x14ac:dyDescent="0.25">
      <c r="A4" s="1"/>
      <c r="B4" s="92"/>
      <c r="C4" s="92"/>
      <c r="D4" s="92"/>
      <c r="E4" s="92"/>
      <c r="F4" s="9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9" t="s">
        <v>107</v>
      </c>
      <c r="C8" s="100"/>
      <c r="D8" s="100"/>
      <c r="E8" s="100"/>
      <c r="F8" s="101"/>
      <c r="G8" s="1"/>
    </row>
    <row r="9" spans="1:7" ht="15" customHeight="1" x14ac:dyDescent="0.25">
      <c r="A9" s="1"/>
      <c r="B9" s="36" t="s">
        <v>19</v>
      </c>
      <c r="C9" s="36" t="s">
        <v>12</v>
      </c>
      <c r="D9" s="37"/>
      <c r="E9" s="36" t="s">
        <v>34</v>
      </c>
      <c r="F9" s="37"/>
      <c r="G9" s="1"/>
    </row>
    <row r="10" spans="1:7" x14ac:dyDescent="0.25">
      <c r="A10" s="1"/>
      <c r="B10" s="25" t="s">
        <v>266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8" t="s">
        <v>98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8" t="s">
        <v>99</v>
      </c>
      <c r="C12" s="12">
        <f>C11*(1+'Fane 14. Nøgletal'!C14)</f>
        <v>0</v>
      </c>
      <c r="D12" s="13" t="s">
        <v>3</v>
      </c>
      <c r="E12" s="12">
        <f>E11*(1+'Fane 14.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9" t="s">
        <v>108</v>
      </c>
      <c r="C14" s="100"/>
      <c r="D14" s="100"/>
      <c r="E14" s="100"/>
      <c r="F14" s="101"/>
      <c r="G14" s="1"/>
    </row>
    <row r="15" spans="1:7" ht="26.25" x14ac:dyDescent="0.25">
      <c r="A15" s="1"/>
      <c r="B15" s="36" t="s">
        <v>19</v>
      </c>
      <c r="C15" s="36" t="s">
        <v>12</v>
      </c>
      <c r="D15" s="37"/>
      <c r="E15" s="36" t="s">
        <v>34</v>
      </c>
      <c r="F15" s="37"/>
      <c r="G15" s="1"/>
    </row>
    <row r="16" spans="1:7" x14ac:dyDescent="0.25">
      <c r="A16" s="1"/>
      <c r="B16" s="25" t="s">
        <v>266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38" t="s">
        <v>98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38" t="s">
        <v>100</v>
      </c>
      <c r="C18" s="12">
        <f>C17*(1+'Fane 14. Nøgletal'!C14)^2</f>
        <v>0</v>
      </c>
      <c r="D18" s="13" t="s">
        <v>3</v>
      </c>
      <c r="E18" s="12">
        <f>E17*(1+'Fane 14. Nøgletal'!C14)^2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99" t="s">
        <v>169</v>
      </c>
      <c r="C20" s="100"/>
      <c r="D20" s="100"/>
      <c r="E20" s="100"/>
      <c r="F20" s="101"/>
      <c r="G20" s="1"/>
    </row>
    <row r="21" spans="1:7" ht="26.25" x14ac:dyDescent="0.25">
      <c r="A21" s="1"/>
      <c r="B21" s="36" t="s">
        <v>19</v>
      </c>
      <c r="C21" s="36" t="s">
        <v>12</v>
      </c>
      <c r="D21" s="37"/>
      <c r="E21" s="36" t="s">
        <v>34</v>
      </c>
      <c r="F21" s="37"/>
      <c r="G21" s="1"/>
    </row>
    <row r="22" spans="1:7" x14ac:dyDescent="0.25">
      <c r="A22" s="1"/>
      <c r="B22" s="25" t="s">
        <v>266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38" t="s">
        <v>98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38" t="s">
        <v>170</v>
      </c>
      <c r="C24" s="12">
        <f>C23*(1+'Fane 14. Nøgletal'!C14)^3</f>
        <v>0</v>
      </c>
      <c r="D24" s="13" t="s">
        <v>3</v>
      </c>
      <c r="E24" s="12">
        <f>E23*(1+'Fane 14. Nøgletal'!C14)^3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99" t="s">
        <v>231</v>
      </c>
      <c r="C26" s="100"/>
      <c r="D26" s="100"/>
      <c r="E26" s="100"/>
      <c r="F26" s="101"/>
      <c r="G26" s="1"/>
    </row>
    <row r="27" spans="1:7" ht="26.25" x14ac:dyDescent="0.25">
      <c r="A27" s="1"/>
      <c r="B27" s="36" t="s">
        <v>19</v>
      </c>
      <c r="C27" s="36" t="s">
        <v>12</v>
      </c>
      <c r="D27" s="37"/>
      <c r="E27" s="36" t="s">
        <v>34</v>
      </c>
      <c r="F27" s="37"/>
      <c r="G27" s="1"/>
    </row>
    <row r="28" spans="1:7" x14ac:dyDescent="0.25">
      <c r="A28" s="1"/>
      <c r="B28" s="25" t="s">
        <v>266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38" t="s">
        <v>98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38" t="s">
        <v>230</v>
      </c>
      <c r="C30" s="12">
        <f>C29*(1+'Fane 14. Nøgletal'!C14)^4</f>
        <v>0</v>
      </c>
      <c r="D30" s="13" t="s">
        <v>3</v>
      </c>
      <c r="E30" s="12">
        <f>E29*(1+'Fane 14.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VjnT8l2fMARyLHMa8xJfwEJPcRSHf8Z61OP5QaFyq2bH/btOUQiKxSjlLJnyxO3t5ftdM6ZFmBfX06pUx6wHUQ==" saltValue="xp8EVLqOQaJ/YleGrTvQgg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1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2" t="s">
        <v>189</v>
      </c>
      <c r="C3" s="92"/>
      <c r="D3" s="1"/>
    </row>
    <row r="4" spans="1:4" ht="25.5" customHeight="1" x14ac:dyDescent="0.25">
      <c r="A4" s="1"/>
      <c r="B4" s="92"/>
      <c r="C4" s="92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8" t="s">
        <v>15</v>
      </c>
      <c r="C8" s="20"/>
      <c r="D8" s="1"/>
    </row>
    <row r="9" spans="1:4" x14ac:dyDescent="0.25">
      <c r="A9" s="1"/>
      <c r="B9" s="65" t="s">
        <v>137</v>
      </c>
      <c r="C9" s="26">
        <v>1.2699999999999999E-2</v>
      </c>
      <c r="D9" s="1"/>
    </row>
    <row r="10" spans="1:4" x14ac:dyDescent="0.25">
      <c r="A10" s="1"/>
      <c r="B10" s="65" t="s">
        <v>138</v>
      </c>
      <c r="C10" s="26">
        <v>1.7500000000000002E-2</v>
      </c>
      <c r="D10" s="1"/>
    </row>
    <row r="11" spans="1:4" x14ac:dyDescent="0.25">
      <c r="A11" s="1"/>
      <c r="B11" s="65" t="s">
        <v>24</v>
      </c>
      <c r="C11" s="26">
        <v>1.6899999999999998E-2</v>
      </c>
      <c r="D11" s="1"/>
    </row>
    <row r="12" spans="1:4" x14ac:dyDescent="0.25">
      <c r="A12" s="1"/>
      <c r="B12" s="39" t="s">
        <v>254</v>
      </c>
      <c r="C12" s="40">
        <v>1.9699999999999999E-2</v>
      </c>
      <c r="D12" s="1"/>
    </row>
    <row r="13" spans="1:4" x14ac:dyDescent="0.25">
      <c r="A13" s="1"/>
      <c r="B13" s="39" t="s">
        <v>162</v>
      </c>
      <c r="C13" s="40">
        <v>1.2200000000000001E-2</v>
      </c>
      <c r="D13" s="1"/>
    </row>
    <row r="14" spans="1:4" x14ac:dyDescent="0.25">
      <c r="A14" s="1"/>
      <c r="B14" s="65" t="s">
        <v>253</v>
      </c>
      <c r="C14" s="50">
        <v>3.3E-3</v>
      </c>
      <c r="D14" s="1"/>
    </row>
    <row r="15" spans="1:4" x14ac:dyDescent="0.25">
      <c r="A15" s="1"/>
      <c r="B15" s="38"/>
      <c r="C15" s="20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38" t="s">
        <v>121</v>
      </c>
      <c r="C18" s="20"/>
      <c r="D18" s="1"/>
    </row>
    <row r="19" spans="1:4" x14ac:dyDescent="0.25">
      <c r="A19" s="1"/>
      <c r="B19" s="65" t="s">
        <v>139</v>
      </c>
      <c r="C19" s="23">
        <v>9.1000000000000004E-3</v>
      </c>
      <c r="D19" s="1"/>
    </row>
    <row r="20" spans="1:4" x14ac:dyDescent="0.25">
      <c r="A20" s="1"/>
      <c r="B20" s="65" t="s">
        <v>190</v>
      </c>
      <c r="C20" s="23">
        <v>1.77E-2</v>
      </c>
      <c r="D20" s="1"/>
    </row>
    <row r="21" spans="1:4" x14ac:dyDescent="0.25">
      <c r="A21" s="1"/>
      <c r="B21" s="65" t="s">
        <v>191</v>
      </c>
      <c r="C21" s="23">
        <v>8.6999999999999994E-3</v>
      </c>
      <c r="D21" s="1"/>
    </row>
    <row r="22" spans="1:4" x14ac:dyDescent="0.25">
      <c r="A22" s="1"/>
      <c r="B22" s="65" t="s">
        <v>140</v>
      </c>
      <c r="C22" s="41">
        <v>2.8400000000000002E-2</v>
      </c>
      <c r="D22" s="1"/>
    </row>
    <row r="23" spans="1:4" x14ac:dyDescent="0.25">
      <c r="A23" s="1"/>
      <c r="B23" s="65" t="s">
        <v>192</v>
      </c>
      <c r="C23" s="41">
        <v>2.75E-2</v>
      </c>
      <c r="D23" s="1"/>
    </row>
    <row r="24" spans="1:4" x14ac:dyDescent="0.25">
      <c r="A24" s="1"/>
      <c r="B24" s="65" t="s">
        <v>193</v>
      </c>
      <c r="C24" s="41">
        <v>1.4800000000000001E-2</v>
      </c>
      <c r="D24" s="1"/>
    </row>
    <row r="25" spans="1:4" x14ac:dyDescent="0.25">
      <c r="A25" s="1"/>
      <c r="B25" s="38"/>
      <c r="C25" s="20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38" t="s">
        <v>122</v>
      </c>
      <c r="C28" s="20"/>
      <c r="D28" s="1"/>
    </row>
    <row r="29" spans="1:4" x14ac:dyDescent="0.25">
      <c r="A29" s="1"/>
      <c r="B29" s="65" t="s">
        <v>141</v>
      </c>
      <c r="C29" s="26">
        <v>0.02</v>
      </c>
      <c r="D29" s="1"/>
    </row>
    <row r="30" spans="1:4" x14ac:dyDescent="0.25">
      <c r="A30" s="1"/>
      <c r="B30" s="38"/>
      <c r="C30" s="20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</sheetData>
  <sheetProtection algorithmName="SHA-512" hashValue="RQ3Fp3vCqY3VUP4hrTvanmTbS1uRhh41vqxUTM4f4CaTUS4Ptxy6UZAmCUgfFIwp9FoG8xDYp4WfcR8CcHVavQ==" saltValue="fsAII5eBh8nFaSXXi5IKtA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4.1. Gen. krav - drift</vt:lpstr>
      <vt:lpstr>Fane 4.2. Gen. krav - anlæg</vt:lpstr>
      <vt:lpstr>Fane 5. Individuelt eff. krav</vt:lpstr>
      <vt:lpstr>Fane 6. Ikke-påvirkelige omk.</vt:lpstr>
      <vt:lpstr>Fane 7. Kontrol af ØR2020</vt:lpstr>
      <vt:lpstr>Fane 8. Korrektion af ØR2020</vt:lpstr>
      <vt:lpstr>Fane 9. Anlægsprojekter</vt:lpstr>
      <vt:lpstr>Fane 10.1. Varige tillæg</vt:lpstr>
      <vt:lpstr>Fane 10.2. Engangstillæg</vt:lpstr>
      <vt:lpstr>Fane 11. Periodevise driftsomk.</vt:lpstr>
      <vt:lpstr>Fane 12. Tilknyttet virksomhed</vt:lpstr>
      <vt:lpstr>Fane 13. Bortfald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Anna Ingeborg Knuhtsen</cp:lastModifiedBy>
  <cp:lastPrinted>2016-06-14T12:57:30Z</cp:lastPrinted>
  <dcterms:created xsi:type="dcterms:W3CDTF">2016-06-02T08:51:18Z</dcterms:created>
  <dcterms:modified xsi:type="dcterms:W3CDTF">2022-12-22T10:29:13Z</dcterms:modified>
</cp:coreProperties>
</file>