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Furesø AS (S027)\ØR2022\"/>
    </mc:Choice>
  </mc:AlternateContent>
  <xr:revisionPtr revIDLastSave="0" documentId="13_ncr:1_{1169C46F-2D9A-49CA-A23C-2BE8459CE057}" xr6:coauthVersionLast="36" xr6:coauthVersionMax="36" xr10:uidLastSave="{00000000-0000-0000-0000-000000000000}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91029"/>
</workbook>
</file>

<file path=xl/calcChain.xml><?xml version="1.0" encoding="utf-8"?>
<calcChain xmlns="http://schemas.openxmlformats.org/spreadsheetml/2006/main">
  <c r="E13" i="37" l="1"/>
  <c r="E14" i="37" l="1"/>
  <c r="E15" i="37" s="1"/>
  <c r="E16" i="40" l="1"/>
  <c r="E12" i="40"/>
  <c r="G26" i="30"/>
  <c r="E25" i="32" l="1"/>
  <c r="E30" i="32" s="1"/>
  <c r="E32" i="32" s="1"/>
  <c r="C26" i="15" l="1"/>
  <c r="C32" i="2"/>
  <c r="C15" i="19"/>
  <c r="G32" i="36" l="1"/>
  <c r="G24" i="36"/>
  <c r="G31" i="36" s="1"/>
  <c r="G6" i="36"/>
  <c r="G10" i="36" s="1"/>
  <c r="G34" i="30"/>
  <c r="G13" i="36" l="1"/>
  <c r="G17" i="36" s="1"/>
  <c r="G19" i="36" l="1"/>
  <c r="G23" i="36"/>
  <c r="G30" i="36" s="1"/>
  <c r="G34" i="36" l="1"/>
  <c r="E23" i="27" s="1"/>
  <c r="G38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6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6" i="36" l="1"/>
  <c r="G15" i="30"/>
  <c r="G19" i="30" l="1"/>
  <c r="G25" i="30" s="1"/>
  <c r="G21" i="30" l="1"/>
  <c r="G28" i="30"/>
  <c r="G32" i="30"/>
  <c r="F11" i="11" l="1"/>
  <c r="C10" i="37" s="1"/>
  <c r="C14" i="37" s="1"/>
  <c r="C15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C11" i="2" s="1"/>
  <c r="G39" i="36" s="1"/>
  <c r="G40" i="30"/>
  <c r="G42" i="30" s="1"/>
  <c r="G46" i="30" s="1"/>
  <c r="G49" i="30" s="1"/>
  <c r="E22" i="27"/>
  <c r="E24" i="27" s="1"/>
  <c r="G45" i="36" l="1"/>
  <c r="G40" i="36"/>
  <c r="C19" i="2" s="1"/>
  <c r="C18" i="2"/>
  <c r="E35" i="27"/>
  <c r="C9" i="2"/>
  <c r="C14" i="15"/>
  <c r="G44" i="36" l="1"/>
  <c r="G47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<sst xmlns="http://schemas.openxmlformats.org/spreadsheetml/2006/main" count="723" uniqueCount="291">
  <si>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</si>
  <si>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</si>
  <si>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</si>
  <si>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</si>
  <si>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</si>
  <si>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</si>
  <si>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</si>
  <si>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</si>
  <si>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</si>
  <si>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</si>
  <si>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</si>
  <si>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</si>
  <si>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</si>
  <si>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</si>
  <si>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</si>
  <si>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</si>
  <si>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</si>
  <si>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</si>
  <si>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</si>
  <si>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</si>
  <si>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</si>
  <si>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</si>
  <si>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</si>
  <si>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</si>
  <si>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</si>
  <si>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</si>
  <si>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</si>
  <si>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</si>
  <si>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</si>
  <si>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</si>
  <si>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</si>
  <si>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</si>
  <si>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</si>
  <si>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</si>
  <si>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</si>
  <si>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</si>
  <si>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</si>
  <si>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</si>
  <si>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</si>
  <si>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</si>
  <si>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</si>
  <si>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</si>
  <si>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</si>
  <si>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</si>
  <si>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</si>
  <si>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</si>
  <si>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</si>
  <si>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</si>
  <si>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</si>
  <si>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</si>
  <si>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</si>
  <si>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</si>
  <si>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</si>
  <si>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</si>
  <si>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</si>
  <si>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</si>
  <si>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</si>
  <si>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</si>
  <si>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</si>
  <si>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</si>
  <si>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</si>
  <si>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</si>
  <si>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</si>
  <si>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</si>
  <si>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</si>
  <si>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</si>
  <si>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</si>
  <si>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</si>
  <si>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</si>
  <si>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</si>
  <si>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</si>
  <si>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</si>
  <si>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</si>
  <si>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</si>
  <si>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</si>
  <si>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</si>
  <si>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</si>
  <si>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</si>
  <si>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</si>
  <si>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</si>
  <si>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</si>
  <si>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</si>
  <si>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</si>
  <si>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</si>
  <si>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</si>
  <si>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</si>
  <si>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</si>
  <si>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</si>
  <si>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</si>
  <si>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</si>
  <si>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</si>
  <si>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</si>
  <si>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</si>
  <si>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</si>
  <si>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</si>
  <si>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</si>
  <si>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</si>
  <si>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</si>
  <si>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</si>
  <si>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</si>
  <si>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</si>
  <si>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</si>
  <si>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</si>
  <si>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</si>
  <si>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</si>
  <si>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</si>
  <si>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</si>
  <si>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</si>
  <si>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</si>
  <si>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</si>
  <si>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</si>
  <si>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</si>
  <si>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</si>
  <si>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</si>
  <si>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</si>
  <si>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</si>
  <si>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</si>
  <si>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</si>
  <si>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</si>
  <si>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</si>
  <si>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</si>
  <si>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</si>
  <si>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</si>
  <si>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</si>
  <si>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</si>
  <si>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</si>
  <si>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</si>
  <si>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</si>
  <si>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</si>
  <si>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</si>
  <si>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</si>
  <si>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</si>
  <si>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</si>
  <si>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</si>
  <si>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</si>
  <si>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</si>
  <si>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</si>
  <si>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</si>
  <si>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</si>
  <si>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</si>
  <si>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</si>
  <si>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</si>
  <si>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</si>
  <si>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</si>
  <si>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</si>
  <si>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</si>
  <si>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</si>
  <si>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</si>
  <si>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</si>
  <si>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</si>
  <si>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</si>
  <si>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</si>
  <si>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</si>
  <si>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</si>
  <si>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</si>
  <si>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</si>
  <si>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</si>
  <si>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</si>
  <si>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</si>
  <si>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</si>
  <si>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</si>
  <si>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</si>
  <si>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</si>
  <si>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</si>
  <si>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</si>
  <si>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</si>
  <si>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</si>
  <si>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</si>
  <si>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</si>
  <si>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</si>
  <si>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</si>
  <si>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</si>
  <si>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</si>
  <si>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</si>
  <si>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</si>
  <si>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</si>
  <si>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</si>
  <si>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</si>
  <si>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</si>
  <si>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</si>
  <si>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</si>
  <si>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</si>
  <si>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</si>
  <si>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</si>
  <si>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</si>
  <si>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</si>
  <si>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</si>
  <si>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</si>
  <si>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</si>
  <si>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</si>
  <si>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</si>
  <si>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</si>
  <si>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</si>
  <si>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</si>
  <si>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</si>
  <si>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</si>
  <si>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</si>
  <si>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</si>
  <si>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</si>
  <si>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</si>
  <si>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</si>
  <si>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</si>
  <si>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</si>
  <si>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</si>
  <si>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</si>
  <si>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</si>
  <si>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</si>
  <si>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</si>
  <si>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</si>
  <si>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</si>
  <si>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</si>
  <si>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</si>
  <si>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</si>
  <si>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</si>
  <si>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</si>
  <si>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</si>
  <si>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</si>
  <si>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</si>
  <si>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</si>
  <si>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</si>
  <si>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</si>
  <si>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</si>
  <si>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</si>
  <si>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</si>
  <si>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</si>
  <si>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</si>
  <si>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</si>
  <si>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</si>
  <si>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</si>
  <si>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</si>
  <si>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</si>
  <si>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</si>
  <si>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</si>
  <si>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</si>
  <si>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</si>
  <si>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</si>
  <si>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</si>
  <si>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</si>
  <si>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</si>
  <si>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</si>
  <si>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</si>
  <si>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</si>
  <si>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</si>
  <si>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</si>
  <si>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</si>
  <si>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</si>
  <si>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</si>
  <si>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</si>
  <si>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</si>
  <si>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</si>
  <si>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</si>
  <si>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</si>
  <si>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</si>
  <si>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</si>
  <si>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</si>
  <si>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</si>
  <si>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</si>
  <si>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</si>
  <si>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</si>
  <si>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</si>
  <si>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</si>
  <si>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</si>
  <si>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</si>
  <si>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</si>
  <si>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</si>
  <si>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</si>
  <si>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</si>
  <si>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</si>
  <si>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</si>
  <si>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</si>
  <si>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</si>
  <si>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</si>
  <si>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</si>
  <si>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</si>
  <si>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</si>
  <si>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</si>
  <si>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</si>
  <si>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</si>
  <si>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</si>
  <si>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</si>
  <si>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</si>
  <si>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</si>
  <si>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</si>
  <si>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</si>
  <si>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Byggemodning og nye stik</t>
  </si>
  <si>
    <t>Oprensning af regnvandsbassiner</t>
  </si>
  <si>
    <t>Ingen engangstillæg</t>
  </si>
  <si>
    <t>Øvrige afgifter</t>
  </si>
  <si>
    <t>Kontrol med overholdelse af den økonomiske ramme</t>
  </si>
  <si>
    <t>Ingen anlægsprojekter</t>
  </si>
  <si>
    <t>Fusion - Grundejerforeningen Stenvadpark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</si>
</sst>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3" fontId="0" fillId="0" borderId="0" xfId="0" applyNumberFormat="1" applyProtection="1"/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6" t="s">
        <v>174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175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176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136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177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132</v>
      </c>
      <c r="D17" s="77" t="s">
        <v>178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110</v>
      </c>
      <c r="D18" s="80" t="s">
        <v>94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111</v>
      </c>
      <c r="D19" s="80" t="s">
        <v>95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112</v>
      </c>
      <c r="D21" s="68" t="s">
        <v>13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75</v>
      </c>
      <c r="D22" s="71" t="s">
        <v>179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180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113</v>
      </c>
      <c r="D25" s="71" t="s">
        <v>76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114</v>
      </c>
      <c r="D26" s="71" t="s">
        <v>77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115</v>
      </c>
      <c r="D27" s="71" t="s">
        <v>78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16</v>
      </c>
      <c r="D28" s="71" t="s">
        <v>135</v>
      </c>
      <c r="E28" s="72"/>
      <c r="F28" s="72"/>
      <c r="G28" s="73"/>
      <c r="H28" s="1"/>
      <c r="I28" s="1"/>
    </row>
    <row r="29" spans="1:9" x14ac:dyDescent="0.2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25">
      <c r="A30" s="1"/>
      <c r="B30" s="1"/>
      <c r="C30" s="6" t="s">
        <v>42</v>
      </c>
      <c r="D30" s="65" t="s">
        <v>108</v>
      </c>
      <c r="E30" s="66"/>
      <c r="F30" s="66"/>
      <c r="G30" s="6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zgcLQ3U/IHKSLtnP8xOsn+Yr4incH9WVGHWltz6D+8VwYPdUCwcLsQlUZe4aVTSgfi3M2KNML9wSiEvi+jWxw==" saltValue="BzxsR5a7x1ZI7ldj81l65A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 xr:uid="{00000000-0004-0000-0000-000000000000}"/>
    <hyperlink ref="D25:G25" location="'Fane 10.1. Varige tillæg'!A1" display="Varige tillæg" xr:uid="{00000000-0004-0000-0000-000001000000}"/>
    <hyperlink ref="D28:G28" location="'Fane 12. Tilknyttet virksomhed'!A1" display="Tilknyttet virksomhed" xr:uid="{00000000-0004-0000-0000-000002000000}"/>
    <hyperlink ref="D29:G29" location="'Fane 13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1:G21" location="'Fane 6. Ikke-påvirkelige omk.'!A1" display="Ikke-påvirkelige omkostninger" xr:uid="{00000000-0004-0000-0000-000007000000}"/>
    <hyperlink ref="D22:G22" location="'Fane 7. Kontrol af ØR2020'!A1" display="Kontrol af den økonomiske ramme for 2019" xr:uid="{00000000-0004-0000-0000-000008000000}"/>
    <hyperlink ref="D24:G24" location="'Fane 9. Anlægsprojekter'!A1" display="Anlægsprojekter" xr:uid="{00000000-0004-0000-0000-000009000000}"/>
    <hyperlink ref="D30:G30" location="'Fane 14. Nøgletal'!A1" display="Nøgletal" xr:uid="{00000000-0004-0000-0000-00000A000000}"/>
    <hyperlink ref="D17:G17" location="'Fane 3. Omkostninger i ØR2021'!A1" display="Omkostninger i ØR2020" xr:uid="{00000000-0004-0000-0000-00000B000000}"/>
    <hyperlink ref="D26:G26" location="'Fane 10.2. Engangstillæg'!A1" display="Engangstillæg" xr:uid="{00000000-0004-0000-0000-00000C000000}"/>
    <hyperlink ref="D27:G27" location="'Fane 11. Periodevise driftsomk.'!A1" display="Periodevise driftsomkostninger" xr:uid="{00000000-0004-0000-0000-00000D000000}"/>
    <hyperlink ref="D23:G23" location="'Fane 6. Korrektion af ØR2020" display="Korrektion af den økonomiske ramme for 2019" xr:uid="{00000000-0004-0000-0000-00000E000000}"/>
    <hyperlink ref="D19:G19" location="'Fane 4.2. Gen. krav - anlæg'!A1" display="Generelt effektiviseringskrav på anlæg" xr:uid="{00000000-0004-0000-0000-00000F000000}"/>
    <hyperlink ref="D20:G20" location="'Fane 5. Individuelt eff. krav'!A1" display="Individuelt effektiviseringskrav" xr:uid="{00000000-0004-0000-0000-000010000000}"/>
    <hyperlink ref="D18:G18" location="'Fane 4.1. Gen. krav - drift'!A1" display="Generelt effektiviseringskrav på drift" xr:uid="{00000000-0004-0000-0000-000011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3" t="s">
        <v>119</v>
      </c>
      <c r="C3" s="83"/>
      <c r="D3" s="83"/>
      <c r="E3" s="1"/>
      <c r="F3" s="1"/>
    </row>
    <row r="4" spans="1:6" ht="15" customHeight="1" x14ac:dyDescent="0.25">
      <c r="A4" s="1"/>
      <c r="B4" s="83"/>
      <c r="C4" s="83"/>
      <c r="D4" s="8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197</v>
      </c>
      <c r="C8" s="114"/>
      <c r="D8" s="115"/>
      <c r="E8" s="1"/>
      <c r="F8" s="1"/>
    </row>
    <row r="9" spans="1:6" ht="15" customHeight="1" x14ac:dyDescent="0.25">
      <c r="A9" s="1"/>
      <c r="B9" s="47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9" t="s">
        <v>267</v>
      </c>
      <c r="C10" s="9">
        <v>191849</v>
      </c>
      <c r="D10" s="14" t="s">
        <v>3</v>
      </c>
      <c r="E10" s="1"/>
      <c r="F10" s="1"/>
    </row>
    <row r="11" spans="1:6" ht="15" customHeight="1" x14ac:dyDescent="0.25">
      <c r="A11" s="1"/>
      <c r="B11" s="59" t="s">
        <v>268</v>
      </c>
      <c r="C11" s="9">
        <v>72342</v>
      </c>
      <c r="D11" s="14" t="s">
        <v>3</v>
      </c>
      <c r="E11" s="1"/>
      <c r="F11" s="1"/>
    </row>
    <row r="12" spans="1:6" x14ac:dyDescent="0.25">
      <c r="A12" s="1"/>
      <c r="B12" s="59" t="s">
        <v>269</v>
      </c>
      <c r="C12" s="9">
        <v>9062038</v>
      </c>
      <c r="D12" s="14" t="s">
        <v>3</v>
      </c>
      <c r="E12" s="1"/>
      <c r="F12" s="1"/>
    </row>
    <row r="13" spans="1:6" x14ac:dyDescent="0.25">
      <c r="A13" s="1"/>
      <c r="B13" s="59" t="s">
        <v>270</v>
      </c>
      <c r="C13" s="9">
        <v>375767</v>
      </c>
      <c r="D13" s="14" t="s">
        <v>3</v>
      </c>
      <c r="E13" s="1"/>
      <c r="F13" s="1"/>
    </row>
    <row r="14" spans="1:6" x14ac:dyDescent="0.25">
      <c r="A14" s="1"/>
      <c r="B14" s="59" t="s">
        <v>287</v>
      </c>
      <c r="C14" s="9">
        <v>88989</v>
      </c>
      <c r="D14" s="14" t="s">
        <v>3</v>
      </c>
      <c r="E14" s="1"/>
      <c r="F14" s="1"/>
    </row>
    <row r="15" spans="1:6" x14ac:dyDescent="0.25">
      <c r="A15" s="1"/>
      <c r="B15" s="35" t="s">
        <v>199</v>
      </c>
      <c r="C15" s="12">
        <f>SUM(C10:C14)</f>
        <v>9790985</v>
      </c>
      <c r="D15" s="13" t="s">
        <v>3</v>
      </c>
      <c r="E15" s="1"/>
      <c r="F15" s="1"/>
    </row>
    <row r="16" spans="1:6" x14ac:dyDescent="0.25">
      <c r="A16" s="1"/>
      <c r="B16" s="35" t="s">
        <v>200</v>
      </c>
      <c r="C16" s="12">
        <f>C15*(1+'Fane 14. Nøgletal'!C14)^2</f>
        <v>9855712.1248266511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13" t="s">
        <v>128</v>
      </c>
      <c r="C19" s="114"/>
      <c r="D19" s="115"/>
      <c r="E19" s="1"/>
      <c r="F19" s="1"/>
    </row>
    <row r="20" spans="1:6" x14ac:dyDescent="0.25">
      <c r="A20" s="1"/>
      <c r="B20" s="59" t="s">
        <v>100</v>
      </c>
      <c r="C20" s="9">
        <v>596009</v>
      </c>
      <c r="D20" s="14" t="s">
        <v>3</v>
      </c>
      <c r="E20" s="1"/>
      <c r="F20" s="1"/>
    </row>
    <row r="21" spans="1:6" x14ac:dyDescent="0.25">
      <c r="A21" s="1"/>
      <c r="B21" s="59" t="s">
        <v>101</v>
      </c>
      <c r="C21" s="9">
        <v>596009</v>
      </c>
      <c r="D21" s="14" t="s">
        <v>3</v>
      </c>
      <c r="E21" s="1"/>
      <c r="F21" s="1"/>
    </row>
    <row r="22" spans="1:6" x14ac:dyDescent="0.25">
      <c r="A22" s="1"/>
      <c r="B22" s="59" t="s">
        <v>141</v>
      </c>
      <c r="C22" s="9">
        <v>596009</v>
      </c>
      <c r="D22" s="14" t="s">
        <v>3</v>
      </c>
      <c r="E22" s="1"/>
      <c r="F22" s="1"/>
    </row>
    <row r="23" spans="1:6" x14ac:dyDescent="0.25">
      <c r="A23" s="1"/>
      <c r="B23" s="59" t="s">
        <v>201</v>
      </c>
      <c r="C23" s="9">
        <v>596009</v>
      </c>
      <c r="D23" s="14" t="s">
        <v>3</v>
      </c>
      <c r="E23" s="1"/>
      <c r="F23" s="1"/>
    </row>
    <row r="24" spans="1:6" x14ac:dyDescent="0.25">
      <c r="A24" s="1"/>
      <c r="B24" s="113"/>
      <c r="C24" s="114"/>
      <c r="D24" s="11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13" t="s">
        <v>99</v>
      </c>
      <c r="C27" s="114"/>
      <c r="D27" s="115"/>
      <c r="E27" s="1"/>
      <c r="F27" s="1"/>
    </row>
    <row r="28" spans="1:6" x14ac:dyDescent="0.25">
      <c r="A28" s="1"/>
      <c r="B28" s="59" t="s">
        <v>100</v>
      </c>
      <c r="C28" s="9">
        <v>1663400</v>
      </c>
      <c r="D28" s="14" t="s">
        <v>3</v>
      </c>
      <c r="E28" s="1"/>
      <c r="F28" s="1"/>
    </row>
    <row r="29" spans="1:6" x14ac:dyDescent="0.25">
      <c r="A29" s="1"/>
      <c r="B29" s="59" t="s">
        <v>101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9" t="s">
        <v>141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9" t="s">
        <v>201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13"/>
      <c r="C32" s="114"/>
      <c r="D32" s="11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WhE/1IxOrHrrTCstxtgTc7SrcKWXpGJXS1+UNXJab317Dw522Y2wHveILhwmM+B99IoZzLUr6cnmwGz2n7wfpg==" saltValue="PaDa+rrfF9ktIJvOfC7X2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140625" style="2"/>
    <col min="9" max="9" width="10.14062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41"/>
      <c r="C5" s="41"/>
      <c r="D5" s="41"/>
      <c r="E5" s="41"/>
      <c r="F5" s="41"/>
      <c r="G5" s="1"/>
    </row>
    <row r="6" spans="1:7" ht="15" customHeight="1" x14ac:dyDescent="0.25">
      <c r="A6" s="1"/>
      <c r="B6" s="41"/>
      <c r="C6" s="41"/>
      <c r="D6" s="41"/>
      <c r="E6" s="41"/>
      <c r="F6" s="4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272</v>
      </c>
      <c r="C8" s="114"/>
      <c r="D8" s="114"/>
      <c r="E8" s="114"/>
      <c r="F8" s="115"/>
      <c r="G8" s="1"/>
    </row>
    <row r="9" spans="1:7" x14ac:dyDescent="0.25">
      <c r="A9" s="1"/>
      <c r="B9" s="110" t="s">
        <v>273</v>
      </c>
      <c r="C9" s="111"/>
      <c r="D9" s="112"/>
      <c r="E9" s="9">
        <v>-3625446.8540206701</v>
      </c>
      <c r="F9" s="14" t="s">
        <v>3</v>
      </c>
      <c r="G9" s="1"/>
    </row>
    <row r="10" spans="1:7" x14ac:dyDescent="0.25">
      <c r="A10" s="1"/>
      <c r="B10" s="110" t="s">
        <v>274</v>
      </c>
      <c r="C10" s="111"/>
      <c r="D10" s="112"/>
      <c r="E10" s="9">
        <v>151693.411141105</v>
      </c>
      <c r="F10" s="14" t="s">
        <v>3</v>
      </c>
      <c r="G10" s="1"/>
    </row>
    <row r="11" spans="1:7" x14ac:dyDescent="0.25">
      <c r="A11" s="1"/>
      <c r="B11" s="110" t="s">
        <v>275</v>
      </c>
      <c r="C11" s="111"/>
      <c r="D11" s="112"/>
      <c r="E11" s="9">
        <v>-5026538.6295877844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85" t="s">
        <v>276</v>
      </c>
      <c r="C13" s="86"/>
      <c r="D13" s="86"/>
      <c r="E13" s="86"/>
      <c r="F13" s="8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277</v>
      </c>
      <c r="C15" s="114"/>
      <c r="D15" s="114"/>
      <c r="E15" s="114"/>
      <c r="F15" s="115"/>
      <c r="G15" s="1"/>
    </row>
    <row r="16" spans="1:7" x14ac:dyDescent="0.25">
      <c r="A16" s="1"/>
      <c r="B16" s="110" t="s">
        <v>278</v>
      </c>
      <c r="C16" s="111"/>
      <c r="D16" s="112"/>
      <c r="E16" s="9">
        <v>-4250146.2214397825</v>
      </c>
      <c r="F16" s="14" t="s">
        <v>3</v>
      </c>
      <c r="G16" s="1"/>
    </row>
    <row r="17" spans="1:9" x14ac:dyDescent="0.25">
      <c r="A17" s="1"/>
      <c r="B17" s="110" t="s">
        <v>279</v>
      </c>
      <c r="C17" s="111"/>
      <c r="D17" s="112"/>
      <c r="E17" s="9">
        <v>-4250146.2214397825</v>
      </c>
      <c r="F17" s="14" t="s">
        <v>3</v>
      </c>
      <c r="G17" s="1"/>
    </row>
    <row r="18" spans="1:9" x14ac:dyDescent="0.25">
      <c r="A18" s="1"/>
      <c r="B18" s="35"/>
      <c r="C18" s="36"/>
      <c r="D18" s="36"/>
      <c r="E18" s="36"/>
      <c r="F18" s="20"/>
      <c r="G18" s="1"/>
    </row>
    <row r="19" spans="1:9" ht="31.5" customHeight="1" x14ac:dyDescent="0.25">
      <c r="A19" s="1"/>
      <c r="B19" s="85" t="s">
        <v>280</v>
      </c>
      <c r="C19" s="86"/>
      <c r="D19" s="86"/>
      <c r="E19" s="86"/>
      <c r="F19" s="87"/>
      <c r="G19" s="1"/>
    </row>
    <row r="20" spans="1:9" ht="28.5" customHeight="1" x14ac:dyDescent="0.25">
      <c r="A20" s="1"/>
      <c r="B20" s="1"/>
      <c r="C20" s="1"/>
      <c r="D20" s="1"/>
      <c r="E20" s="1"/>
      <c r="F20" s="1"/>
      <c r="G20" s="1"/>
    </row>
    <row r="21" spans="1:9" x14ac:dyDescent="0.25">
      <c r="A21" s="1"/>
      <c r="B21" s="53" t="s">
        <v>240</v>
      </c>
      <c r="C21" s="54"/>
      <c r="D21" s="54"/>
      <c r="E21" s="54"/>
      <c r="F21" s="55"/>
      <c r="G21" s="1"/>
    </row>
    <row r="22" spans="1:9" x14ac:dyDescent="0.25">
      <c r="A22" s="1"/>
      <c r="B22" s="56" t="s">
        <v>241</v>
      </c>
      <c r="C22" s="57"/>
      <c r="D22" s="58"/>
      <c r="E22" s="9">
        <v>62013636.805242084</v>
      </c>
      <c r="F22" s="14" t="s">
        <v>3</v>
      </c>
      <c r="G22" s="1"/>
    </row>
    <row r="23" spans="1:9" x14ac:dyDescent="0.25">
      <c r="A23" s="1"/>
      <c r="B23" s="56" t="s">
        <v>242</v>
      </c>
      <c r="C23" s="57"/>
      <c r="D23" s="58"/>
      <c r="E23" s="9">
        <v>60159894</v>
      </c>
      <c r="F23" s="14" t="s">
        <v>3</v>
      </c>
      <c r="G23" s="1"/>
    </row>
    <row r="24" spans="1:9" x14ac:dyDescent="0.25">
      <c r="A24" s="1"/>
      <c r="B24" s="56" t="s">
        <v>36</v>
      </c>
      <c r="C24" s="57"/>
      <c r="D24" s="58"/>
      <c r="E24" s="9">
        <v>0</v>
      </c>
      <c r="F24" s="14" t="s">
        <v>3</v>
      </c>
      <c r="G24" s="1"/>
      <c r="I24" s="64"/>
    </row>
    <row r="25" spans="1:9" x14ac:dyDescent="0.25">
      <c r="A25" s="1"/>
      <c r="B25" s="50" t="s">
        <v>281</v>
      </c>
      <c r="C25" s="51"/>
      <c r="D25" s="52"/>
      <c r="E25" s="38">
        <f>E22-(E23-E24)</f>
        <v>1853742.805242084</v>
      </c>
      <c r="F25" s="17" t="s">
        <v>3</v>
      </c>
      <c r="G25" s="1"/>
    </row>
    <row r="26" spans="1:9" x14ac:dyDescent="0.25">
      <c r="A26" s="1"/>
      <c r="B26" s="35"/>
      <c r="C26" s="36"/>
      <c r="D26" s="36"/>
      <c r="E26" s="36"/>
      <c r="F26" s="20"/>
      <c r="G26" s="1"/>
    </row>
    <row r="27" spans="1:9" x14ac:dyDescent="0.25">
      <c r="A27" s="1"/>
      <c r="B27" s="1"/>
      <c r="C27" s="1"/>
      <c r="D27" s="1"/>
      <c r="E27" s="1"/>
      <c r="F27" s="1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3" t="s">
        <v>169</v>
      </c>
      <c r="C29" s="114"/>
      <c r="D29" s="114"/>
      <c r="E29" s="114"/>
      <c r="F29" s="115"/>
      <c r="G29" s="1"/>
    </row>
    <row r="30" spans="1:9" x14ac:dyDescent="0.2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-6646549.2672252655</v>
      </c>
      <c r="F30" s="14" t="s">
        <v>3</v>
      </c>
      <c r="G30" s="1"/>
    </row>
    <row r="31" spans="1:9" x14ac:dyDescent="0.2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9" x14ac:dyDescent="0.25">
      <c r="A32" s="1"/>
      <c r="B32" s="127" t="s">
        <v>172</v>
      </c>
      <c r="C32" s="127"/>
      <c r="D32" s="127"/>
      <c r="E32" s="10">
        <f>E30/E31</f>
        <v>-3323274.6336126328</v>
      </c>
      <c r="F32" s="17" t="s">
        <v>3</v>
      </c>
      <c r="G32" s="1"/>
    </row>
    <row r="33" spans="1:7" x14ac:dyDescent="0.25">
      <c r="A33" s="1"/>
      <c r="B33" s="121"/>
      <c r="C33" s="122"/>
      <c r="D33" s="122"/>
      <c r="E33" s="122"/>
      <c r="F33" s="12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xfwla0UoLG4tUfjbse/a/qZAcIZnQRPHKSzTiR7RYuRdy4pQ7ihNTJ6P50MhOlfXsSy4iKQ4SOaZScGIaGBgGw==" saltValue="JmS22z9G6huVwrD0ZgogX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203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3" t="s">
        <v>204</v>
      </c>
      <c r="C9" s="114"/>
      <c r="D9" s="114"/>
      <c r="E9" s="114"/>
      <c r="F9" s="114"/>
      <c r="G9" s="1"/>
    </row>
    <row r="10" spans="1:7" x14ac:dyDescent="0.25">
      <c r="A10" s="1"/>
      <c r="B10" s="85" t="s">
        <v>102</v>
      </c>
      <c r="C10" s="86"/>
      <c r="D10" s="87"/>
      <c r="E10" s="7">
        <v>0</v>
      </c>
      <c r="F10" s="8" t="s">
        <v>3</v>
      </c>
      <c r="G10" s="1"/>
    </row>
    <row r="11" spans="1:7" x14ac:dyDescent="0.25">
      <c r="A11" s="1"/>
      <c r="B11" s="110" t="s">
        <v>205</v>
      </c>
      <c r="C11" s="111"/>
      <c r="D11" s="112"/>
      <c r="E11" s="7">
        <v>0</v>
      </c>
      <c r="F11" s="8" t="s">
        <v>3</v>
      </c>
      <c r="G11" s="1"/>
    </row>
    <row r="12" spans="1:7" x14ac:dyDescent="0.25">
      <c r="A12" s="1"/>
      <c r="B12" s="97" t="s">
        <v>103</v>
      </c>
      <c r="C12" s="98"/>
      <c r="D12" s="99"/>
      <c r="E12" s="10">
        <f>E11-E10</f>
        <v>0</v>
      </c>
      <c r="F12" s="11" t="s">
        <v>3</v>
      </c>
      <c r="G12" s="1"/>
    </row>
    <row r="13" spans="1:7" x14ac:dyDescent="0.25">
      <c r="A13" s="1"/>
      <c r="B13" s="113" t="s">
        <v>93</v>
      </c>
      <c r="C13" s="114"/>
      <c r="D13" s="114"/>
      <c r="E13" s="114"/>
      <c r="F13" s="114"/>
      <c r="G13" s="1"/>
    </row>
    <row r="14" spans="1:7" x14ac:dyDescent="0.25">
      <c r="A14" s="1"/>
      <c r="B14" s="110" t="s">
        <v>206</v>
      </c>
      <c r="C14" s="111"/>
      <c r="D14" s="112"/>
      <c r="E14" s="9">
        <v>596009</v>
      </c>
      <c r="F14" s="8" t="s">
        <v>3</v>
      </c>
      <c r="G14" s="1"/>
    </row>
    <row r="15" spans="1:7" x14ac:dyDescent="0.25">
      <c r="A15" s="1"/>
      <c r="B15" s="85" t="s">
        <v>207</v>
      </c>
      <c r="C15" s="86"/>
      <c r="D15" s="87"/>
      <c r="E15" s="9">
        <v>0</v>
      </c>
      <c r="F15" s="8" t="s">
        <v>3</v>
      </c>
      <c r="G15" s="1"/>
    </row>
    <row r="16" spans="1:7" x14ac:dyDescent="0.25">
      <c r="A16" s="1"/>
      <c r="B16" s="97" t="s">
        <v>103</v>
      </c>
      <c r="C16" s="98"/>
      <c r="D16" s="99"/>
      <c r="E16" s="10">
        <f>E15-E14</f>
        <v>-596009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-596009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pdSoURKXZjhl0n7Dg/kShxVK58NF6COF7mcOdpdANdOuS98mltS4PT7ZTdlEZrEafV69nHzwuBKWrKysEIwLA==" saltValue="N7rfcVqI15h/yRHoT2fGP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156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3"/>
      <c r="I9" s="1"/>
    </row>
    <row r="10" spans="1:9" x14ac:dyDescent="0.25">
      <c r="A10" s="1"/>
      <c r="B10" s="61" t="s">
        <v>289</v>
      </c>
      <c r="C10" s="3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157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+0ndqDPpB/v4xry3/hlDtSDwAW+zjX2C7mWfEh3WI5boISA+Eu9j2YjgQmVNJvsr/f60bGqLJLVFMJyl7fWiw==" saltValue="qNDapet6DIL004a7wUUW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/>
  <dimension ref="A1:G51"/>
  <sheetViews>
    <sheetView showGridLines="0" view="pageLayout" zoomScaleNormal="100" workbookViewId="0">
      <selection activeCell="E14" sqref="E14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5" t="s">
        <v>18</v>
      </c>
      <c r="C9" s="45" t="s">
        <v>12</v>
      </c>
      <c r="D9" s="46"/>
      <c r="E9" s="45" t="s">
        <v>34</v>
      </c>
      <c r="F9" s="63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284</v>
      </c>
      <c r="C11" s="22">
        <v>156745</v>
      </c>
      <c r="D11" s="14" t="s">
        <v>3</v>
      </c>
      <c r="E11" s="9">
        <v>48592</v>
      </c>
      <c r="F11" s="14" t="s">
        <v>3</v>
      </c>
      <c r="G11" s="1"/>
    </row>
    <row r="12" spans="1:7" x14ac:dyDescent="0.25">
      <c r="A12" s="1"/>
      <c r="B12" s="25" t="s">
        <v>285</v>
      </c>
      <c r="C12" s="22">
        <v>58753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25" t="s">
        <v>290</v>
      </c>
      <c r="C13" s="22">
        <v>0</v>
      </c>
      <c r="D13" s="14" t="s">
        <v>3</v>
      </c>
      <c r="E13" s="9">
        <f>14109*0.75</f>
        <v>10581.75</v>
      </c>
      <c r="F13" s="14" t="s">
        <v>3</v>
      </c>
      <c r="G13" s="1"/>
    </row>
    <row r="14" spans="1:7" x14ac:dyDescent="0.25">
      <c r="A14" s="1"/>
      <c r="B14" s="35" t="s">
        <v>142</v>
      </c>
      <c r="C14" s="12">
        <f>SUM(C10:C12)</f>
        <v>215498</v>
      </c>
      <c r="D14" s="13" t="s">
        <v>3</v>
      </c>
      <c r="E14" s="12">
        <f>SUM(E10:E13)</f>
        <v>59173.75</v>
      </c>
      <c r="F14" s="13" t="s">
        <v>3</v>
      </c>
      <c r="G14" s="1"/>
    </row>
    <row r="15" spans="1:7" x14ac:dyDescent="0.25">
      <c r="A15" s="1"/>
      <c r="B15" s="35" t="s">
        <v>209</v>
      </c>
      <c r="C15" s="12">
        <f>C14*(1+'Fane 14. Nøgletal'!C14)</f>
        <v>216209.14340000003</v>
      </c>
      <c r="D15" s="13" t="s">
        <v>3</v>
      </c>
      <c r="E15" s="12">
        <f>E14*(1+'Fane 14. Nøgletal'!C14)</f>
        <v>59369.023375000004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7Qqb6JtqCxswP/bGggG2uQ9lGynLLohFqrUiqV8rbP+zi4bN5iitkz0S/JbXg4oflbgeqXfpDrJeO3epGbmv6Q==" saltValue="DzUBDkknSLb+TeFgEa6y8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96</v>
      </c>
      <c r="C8" s="114"/>
      <c r="D8" s="114"/>
      <c r="E8" s="114"/>
      <c r="F8" s="115"/>
      <c r="G8" s="1"/>
    </row>
    <row r="9" spans="1:7" x14ac:dyDescent="0.25">
      <c r="A9" s="1"/>
      <c r="B9" s="45" t="s">
        <v>18</v>
      </c>
      <c r="C9" s="45" t="s">
        <v>12</v>
      </c>
      <c r="D9" s="46"/>
      <c r="E9" s="45" t="s">
        <v>34</v>
      </c>
      <c r="F9" s="63"/>
      <c r="G9" s="1"/>
    </row>
    <row r="10" spans="1:7" x14ac:dyDescent="0.25">
      <c r="A10" s="1"/>
      <c r="B10" s="25" t="s">
        <v>285</v>
      </c>
      <c r="C10" s="22">
        <v>1468820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1468820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-13862.906974436635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-29376.400000000001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1435005.0501732794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97</v>
      </c>
      <c r="C16" s="114"/>
      <c r="D16" s="114"/>
      <c r="E16" s="114"/>
      <c r="F16" s="115"/>
      <c r="G16" s="1"/>
    </row>
    <row r="17" spans="1:7" x14ac:dyDescent="0.25">
      <c r="A17" s="1"/>
      <c r="B17" s="45" t="s">
        <v>18</v>
      </c>
      <c r="C17" s="45" t="s">
        <v>12</v>
      </c>
      <c r="D17" s="46"/>
      <c r="E17" s="45" t="s">
        <v>34</v>
      </c>
      <c r="F17" s="63"/>
      <c r="G17" s="1"/>
    </row>
    <row r="18" spans="1:7" x14ac:dyDescent="0.25">
      <c r="A18" s="1"/>
      <c r="B18" s="25" t="s">
        <v>286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144</v>
      </c>
      <c r="C24" s="114"/>
      <c r="D24" s="114"/>
      <c r="E24" s="114"/>
      <c r="F24" s="115"/>
      <c r="G24" s="1"/>
    </row>
    <row r="25" spans="1:7" x14ac:dyDescent="0.25">
      <c r="A25" s="1"/>
      <c r="B25" s="45" t="s">
        <v>18</v>
      </c>
      <c r="C25" s="45" t="s">
        <v>12</v>
      </c>
      <c r="D25" s="46"/>
      <c r="E25" s="45" t="s">
        <v>34</v>
      </c>
      <c r="F25" s="63"/>
      <c r="G25" s="1"/>
    </row>
    <row r="26" spans="1:7" x14ac:dyDescent="0.25">
      <c r="A26" s="1"/>
      <c r="B26" s="25" t="s">
        <v>286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212</v>
      </c>
      <c r="C32" s="114"/>
      <c r="D32" s="114"/>
      <c r="E32" s="114"/>
      <c r="F32" s="115"/>
      <c r="G32" s="1"/>
    </row>
    <row r="33" spans="1:7" x14ac:dyDescent="0.25">
      <c r="A33" s="1"/>
      <c r="B33" s="45" t="s">
        <v>18</v>
      </c>
      <c r="C33" s="45" t="s">
        <v>12</v>
      </c>
      <c r="D33" s="46"/>
      <c r="E33" s="45" t="s">
        <v>34</v>
      </c>
      <c r="F33" s="63"/>
      <c r="G33" s="1"/>
    </row>
    <row r="34" spans="1:7" x14ac:dyDescent="0.25">
      <c r="A34" s="1"/>
      <c r="B34" s="25" t="s">
        <v>286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XWtmCxouzAJfnhz0oqq3cn14YpR7uAtn4h4QAfFJOTW+E5RVuo+g79HGqKFFP1u6jCsDxJRucVx0CcyT+NF8g==" saltValue="q+pFvEZLksTqb8Z2PrTWM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127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87</v>
      </c>
      <c r="C8" s="114"/>
      <c r="D8" s="114"/>
      <c r="E8" s="114"/>
      <c r="F8" s="115"/>
      <c r="G8" s="1"/>
    </row>
    <row r="9" spans="1:7" x14ac:dyDescent="0.2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25">
      <c r="A10" s="1"/>
      <c r="B10" s="100" t="s">
        <v>10</v>
      </c>
      <c r="C10" s="101"/>
      <c r="D10" s="10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100" t="s">
        <v>27</v>
      </c>
      <c r="C11" s="101"/>
      <c r="D11" s="10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3" t="s">
        <v>89</v>
      </c>
      <c r="C12" s="114"/>
      <c r="D12" s="11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88</v>
      </c>
      <c r="C14" s="114"/>
      <c r="D14" s="114"/>
      <c r="E14" s="114"/>
      <c r="F14" s="115"/>
      <c r="G14" s="1"/>
    </row>
    <row r="15" spans="1:7" x14ac:dyDescent="0.2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25">
      <c r="A16" s="1"/>
      <c r="B16" s="100" t="s">
        <v>10</v>
      </c>
      <c r="C16" s="101"/>
      <c r="D16" s="10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100" t="s">
        <v>27</v>
      </c>
      <c r="C17" s="101"/>
      <c r="D17" s="10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3" t="s">
        <v>90</v>
      </c>
      <c r="C18" s="114"/>
      <c r="D18" s="11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145</v>
      </c>
      <c r="C20" s="114"/>
      <c r="D20" s="114"/>
      <c r="E20" s="114"/>
      <c r="F20" s="115"/>
      <c r="G20" s="1"/>
    </row>
    <row r="21" spans="1:7" x14ac:dyDescent="0.2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25">
      <c r="A22" s="1"/>
      <c r="B22" s="100" t="s">
        <v>10</v>
      </c>
      <c r="C22" s="101"/>
      <c r="D22" s="10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100" t="s">
        <v>27</v>
      </c>
      <c r="C23" s="101"/>
      <c r="D23" s="10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3" t="s">
        <v>146</v>
      </c>
      <c r="C24" s="114"/>
      <c r="D24" s="11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216</v>
      </c>
      <c r="C26" s="114"/>
      <c r="D26" s="114"/>
      <c r="E26" s="114"/>
      <c r="F26" s="115"/>
      <c r="G26" s="1"/>
    </row>
    <row r="27" spans="1:7" x14ac:dyDescent="0.2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25">
      <c r="A28" s="1"/>
      <c r="B28" s="100" t="s">
        <v>10</v>
      </c>
      <c r="C28" s="101"/>
      <c r="D28" s="10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100" t="s">
        <v>27</v>
      </c>
      <c r="C29" s="101"/>
      <c r="D29" s="10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3" t="s">
        <v>217</v>
      </c>
      <c r="C30" s="114"/>
      <c r="D30" s="11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b+zltim1n5hsze7e/i6LFnFMCf7iXud2DXklUfMzGgALPrNDy6poj+ilHZGPyEIfUM8qg7J60GHNagNCC1Dqw==" saltValue="dbExJu2d2mofId0sZoEjY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147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148</v>
      </c>
      <c r="C8" s="114"/>
      <c r="D8" s="114"/>
      <c r="E8" s="114"/>
      <c r="F8" s="115"/>
      <c r="G8" s="1"/>
    </row>
    <row r="9" spans="1:7" ht="15" customHeight="1" x14ac:dyDescent="0.25">
      <c r="A9" s="1"/>
      <c r="B9" s="62" t="s">
        <v>149</v>
      </c>
      <c r="C9" s="88" t="s">
        <v>12</v>
      </c>
      <c r="D9" s="90"/>
      <c r="E9" s="131" t="s">
        <v>34</v>
      </c>
      <c r="F9" s="132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0wFI/CuDZip8oXAOCYzWxFqt7qsnPIplOYBn7kElEpmbvfQ/Dndk+9n/9M38vNkJSiH/sXFquC9SaTqwzPkpQ==" saltValue="oP+RMgo+iM1aZNJG9l+Gx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116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91</v>
      </c>
      <c r="C8" s="114"/>
      <c r="D8" s="114"/>
      <c r="E8" s="114"/>
      <c r="F8" s="115"/>
      <c r="G8" s="1"/>
    </row>
    <row r="9" spans="1:7" ht="15" customHeight="1" x14ac:dyDescent="0.25">
      <c r="A9" s="1"/>
      <c r="B9" s="62" t="s">
        <v>19</v>
      </c>
      <c r="C9" s="62" t="s">
        <v>12</v>
      </c>
      <c r="D9" s="63"/>
      <c r="E9" s="62" t="s">
        <v>34</v>
      </c>
      <c r="F9" s="63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92</v>
      </c>
      <c r="C14" s="114"/>
      <c r="D14" s="114"/>
      <c r="E14" s="114"/>
      <c r="F14" s="115"/>
      <c r="G14" s="1"/>
    </row>
    <row r="15" spans="1:7" ht="26.25" x14ac:dyDescent="0.25">
      <c r="A15" s="1"/>
      <c r="B15" s="62" t="s">
        <v>19</v>
      </c>
      <c r="C15" s="62" t="s">
        <v>12</v>
      </c>
      <c r="D15" s="63"/>
      <c r="E15" s="62" t="s">
        <v>34</v>
      </c>
      <c r="F15" s="63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151</v>
      </c>
      <c r="C20" s="114"/>
      <c r="D20" s="114"/>
      <c r="E20" s="114"/>
      <c r="F20" s="115"/>
      <c r="G20" s="1"/>
    </row>
    <row r="21" spans="1:7" ht="26.25" x14ac:dyDescent="0.25">
      <c r="A21" s="1"/>
      <c r="B21" s="62" t="s">
        <v>19</v>
      </c>
      <c r="C21" s="62" t="s">
        <v>12</v>
      </c>
      <c r="D21" s="63"/>
      <c r="E21" s="62" t="s">
        <v>34</v>
      </c>
      <c r="F21" s="63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219</v>
      </c>
      <c r="C26" s="114"/>
      <c r="D26" s="114"/>
      <c r="E26" s="114"/>
      <c r="F26" s="115"/>
      <c r="G26" s="1"/>
    </row>
    <row r="27" spans="1:7" ht="26.25" x14ac:dyDescent="0.25">
      <c r="A27" s="1"/>
      <c r="B27" s="62" t="s">
        <v>19</v>
      </c>
      <c r="C27" s="62" t="s">
        <v>12</v>
      </c>
      <c r="D27" s="63"/>
      <c r="E27" s="62" t="s">
        <v>34</v>
      </c>
      <c r="F27" s="63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BlB35qlSXM3Idq3K+4fzgqqG2XxtQlviZw/kc4daumL3LDD207mOKry2/Wzz4SX/DsnMmmtNs5hCluMdJ0iJw==" saltValue="O+vcF1hPEdH6CC9dJorA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D51"/>
  <sheetViews>
    <sheetView showGridLines="0" view="pageLayout" zoomScaleNormal="100" workbookViewId="0">
      <selection activeCell="C12" sqref="C12:C13"/>
    </sheetView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173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9" t="s">
        <v>264</v>
      </c>
      <c r="C9" s="26">
        <v>1.2699999999999999E-2</v>
      </c>
      <c r="D9" s="1"/>
    </row>
    <row r="10" spans="1:4" x14ac:dyDescent="0.25">
      <c r="A10" s="1"/>
      <c r="B10" s="59" t="s">
        <v>122</v>
      </c>
      <c r="C10" s="26">
        <v>1.7500000000000002E-2</v>
      </c>
      <c r="D10" s="1"/>
    </row>
    <row r="11" spans="1:4" x14ac:dyDescent="0.25">
      <c r="A11" s="1"/>
      <c r="B11" s="59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283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9" t="s">
        <v>265</v>
      </c>
      <c r="C19" s="23">
        <v>9.1000000000000004E-3</v>
      </c>
      <c r="D19" s="1"/>
    </row>
    <row r="20" spans="1:4" x14ac:dyDescent="0.25">
      <c r="A20" s="1"/>
      <c r="B20" s="59" t="s">
        <v>124</v>
      </c>
      <c r="C20" s="23">
        <v>1.77E-2</v>
      </c>
      <c r="D20" s="1"/>
    </row>
    <row r="21" spans="1:4" x14ac:dyDescent="0.25">
      <c r="A21" s="1"/>
      <c r="B21" s="59" t="s">
        <v>123</v>
      </c>
      <c r="C21" s="23">
        <v>8.6999999999999994E-3</v>
      </c>
      <c r="D21" s="1"/>
    </row>
    <row r="22" spans="1:4" x14ac:dyDescent="0.25">
      <c r="A22" s="1"/>
      <c r="B22" s="59" t="s">
        <v>125</v>
      </c>
      <c r="C22" s="23">
        <v>2.8400000000000002E-2</v>
      </c>
      <c r="D22" s="1"/>
    </row>
    <row r="23" spans="1:4" x14ac:dyDescent="0.25">
      <c r="A23" s="1"/>
      <c r="B23" s="59" t="s">
        <v>154</v>
      </c>
      <c r="C23" s="32">
        <v>2.75E-2</v>
      </c>
      <c r="D23" s="1"/>
    </row>
    <row r="24" spans="1:4" x14ac:dyDescent="0.25">
      <c r="A24" s="1"/>
      <c r="B24" s="59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9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l/7s618uDcNJx7pThLW8cZScQKoemCqe3B489XxQrXCYIP67SlsDvqMBzVgbhQVYPc1KpYdD8w3JnpnDjJbJEA==" saltValue="6FqCopeb5CJZHy6tB274q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7"/>
  <sheetViews>
    <sheetView showGridLines="0" showWhiteSpace="0" view="pageLayout" topLeftCell="A12" zoomScaleNormal="100" workbookViewId="0">
      <selection activeCell="C11" sqref="C11"/>
    </sheetView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181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42" t="s">
        <v>26</v>
      </c>
      <c r="C9" s="7">
        <f>'Fane 3. Omkostninger i ØR2021'!E24</f>
        <v>52974775.870170668</v>
      </c>
      <c r="D9" s="8" t="s">
        <v>3</v>
      </c>
      <c r="E9" s="1"/>
    </row>
    <row r="10" spans="1:5" ht="17.100000000000001" customHeight="1" x14ac:dyDescent="0.25">
      <c r="A10" s="1"/>
      <c r="B10" s="44" t="s">
        <v>43</v>
      </c>
      <c r="C10" s="7">
        <f>'Fane 10.1. Varige tillæg'!C15</f>
        <v>216209.14340000003</v>
      </c>
      <c r="D10" s="8" t="s">
        <v>3</v>
      </c>
      <c r="E10" s="1"/>
    </row>
    <row r="11" spans="1:5" ht="17.100000000000001" customHeight="1" x14ac:dyDescent="0.25">
      <c r="A11" s="1"/>
      <c r="B11" s="44" t="s">
        <v>44</v>
      </c>
      <c r="C11" s="9">
        <f>'Fane 10.1. Varige tillæg'!E15</f>
        <v>59369.023375000004</v>
      </c>
      <c r="D11" s="8" t="s">
        <v>3</v>
      </c>
      <c r="E11" s="1"/>
    </row>
    <row r="12" spans="1:5" ht="17.100000000000001" customHeight="1" x14ac:dyDescent="0.25">
      <c r="A12" s="1"/>
      <c r="B12" s="44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4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4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4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4" t="s">
        <v>20</v>
      </c>
      <c r="C16" s="9">
        <f>SUM(C9:C15)*'Fane 14. Nøgletal'!C14</f>
        <v>175726.16832192068</v>
      </c>
      <c r="D16" s="8" t="s">
        <v>3</v>
      </c>
      <c r="E16" s="1"/>
    </row>
    <row r="17" spans="1:5" ht="17.100000000000001" customHeight="1" x14ac:dyDescent="0.25">
      <c r="A17" s="1"/>
      <c r="B17" s="44" t="s">
        <v>10</v>
      </c>
      <c r="C17" s="9">
        <f>-SUM(C9,C10:C16)*'Fane 5. Individuelt eff. krav'!G11</f>
        <v>-504242.03094621195</v>
      </c>
      <c r="D17" s="8" t="s">
        <v>3</v>
      </c>
      <c r="E17" s="1"/>
    </row>
    <row r="18" spans="1:5" ht="17.100000000000001" customHeight="1" x14ac:dyDescent="0.25">
      <c r="A18" s="1"/>
      <c r="B18" s="44" t="s">
        <v>27</v>
      </c>
      <c r="C18" s="9">
        <f>-'Fane 4.1. Gen. krav - drift'!G42</f>
        <v>-410101.61275354266</v>
      </c>
      <c r="D18" s="8" t="s">
        <v>3</v>
      </c>
      <c r="E18" s="1"/>
    </row>
    <row r="19" spans="1:5" ht="15" customHeight="1" x14ac:dyDescent="0.25">
      <c r="A19" s="1"/>
      <c r="B19" s="44" t="s">
        <v>28</v>
      </c>
      <c r="C19" s="9">
        <f>-'Fane 4.2. Gen. krav - anlæg'!G40</f>
        <v>-489961.14404827857</v>
      </c>
      <c r="D19" s="8" t="s">
        <v>3</v>
      </c>
      <c r="E19" s="1"/>
    </row>
    <row r="20" spans="1:5" ht="15" customHeight="1" x14ac:dyDescent="0.25">
      <c r="A20" s="1"/>
      <c r="B20" s="50" t="s">
        <v>22</v>
      </c>
      <c r="C20" s="10">
        <f>SUM(C9,C10:C19)</f>
        <v>52021775.417519554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2" t="s">
        <v>13</v>
      </c>
      <c r="C22" s="10">
        <f>'Fane 6. Ikke-påvirkelige omk.'!C16+'Fane 6. Ikke-påvirkelige omk.'!C20+'Fane 6. Ikke-påvirkelige omk.'!C28</f>
        <v>12115121.124826651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50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44" t="s">
        <v>73</v>
      </c>
      <c r="C26" s="9">
        <f>'Fane 10.2. Engangstillæg'!C14</f>
        <v>1435005.0501732794</v>
      </c>
      <c r="D26" s="8" t="s">
        <v>3</v>
      </c>
      <c r="E26" s="1"/>
    </row>
    <row r="27" spans="1:5" ht="15" customHeight="1" x14ac:dyDescent="0.25">
      <c r="A27" s="1"/>
      <c r="B27" s="44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79</v>
      </c>
      <c r="C28" s="10">
        <f>SUM(C26:C27)</f>
        <v>1435005.0501732794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2" t="s">
        <v>180</v>
      </c>
      <c r="C30" s="10">
        <f>'Fane 8. Korrektion af ØR2020'!E17</f>
        <v>-596009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2" t="s">
        <v>288</v>
      </c>
      <c r="C32" s="10">
        <f>'Fane 7. Kontrol af ØR2020'!E32</f>
        <v>-3323274.6336126328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60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61652617.958906859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EBt8FrH0h5o//28UrbiOSeoGtMZuoyrh0bsByXo4Zdi7C2MaHihvlhpT5XZNPgRtzM2s2eKaLwt0xjwass7Zg==" saltValue="pABxYy/F9o1ksc17mEs7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51"/>
  <sheetViews>
    <sheetView showGridLines="0" view="pageLayout" zoomScaleNormal="100" workbookViewId="0">
      <selection activeCell="F3" sqref="F3"/>
    </sheetView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182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/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ht="15" customHeight="1" x14ac:dyDescent="0.25">
      <c r="A9" s="1"/>
      <c r="B9" s="42" t="s">
        <v>109</v>
      </c>
      <c r="C9" s="7">
        <f>'Fane 2.1. Økonomisk ramme 2022'!C20</f>
        <v>52021775.417519554</v>
      </c>
      <c r="D9" s="8" t="s">
        <v>3</v>
      </c>
      <c r="E9" s="1"/>
    </row>
    <row r="10" spans="1:5" ht="15" customHeight="1" x14ac:dyDescent="0.25">
      <c r="A10" s="1"/>
      <c r="B10" s="44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4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3" t="s">
        <v>20</v>
      </c>
      <c r="C12" s="9">
        <f>SUM(C9:C11)*'Fane 14. Nøgletal'!C14</f>
        <v>171671.85887781452</v>
      </c>
      <c r="D12" s="8" t="s">
        <v>3</v>
      </c>
      <c r="E12" s="1"/>
    </row>
    <row r="13" spans="1:5" ht="15" customHeight="1" x14ac:dyDescent="0.25">
      <c r="A13" s="1"/>
      <c r="B13" s="43" t="s">
        <v>10</v>
      </c>
      <c r="C13" s="9">
        <f>-SUM(C9:C12)*'Fane 5. Individuelt eff. krav'!G11</f>
        <v>-492608.28710656165</v>
      </c>
      <c r="D13" s="8" t="s">
        <v>3</v>
      </c>
      <c r="E13" s="1"/>
    </row>
    <row r="14" spans="1:5" ht="15" customHeight="1" x14ac:dyDescent="0.25">
      <c r="A14" s="1"/>
      <c r="B14" s="43" t="s">
        <v>27</v>
      </c>
      <c r="C14" s="9">
        <f>-'Fane 4.1. Gen. krav - drift'!G49</f>
        <v>-403225.84911411681</v>
      </c>
      <c r="D14" s="8" t="s">
        <v>3</v>
      </c>
      <c r="E14" s="1"/>
    </row>
    <row r="15" spans="1:5" ht="15" customHeight="1" x14ac:dyDescent="0.25">
      <c r="A15" s="1"/>
      <c r="B15" s="43" t="s">
        <v>28</v>
      </c>
      <c r="C15" s="9">
        <f>-'Fane 4.2. Gen. krav - anlæg'!G47</f>
        <v>-484302.66118944815</v>
      </c>
      <c r="D15" s="8" t="s">
        <v>3</v>
      </c>
      <c r="E15" s="1"/>
    </row>
    <row r="16" spans="1:5" ht="15" customHeight="1" x14ac:dyDescent="0.25">
      <c r="A16" s="1"/>
      <c r="B16" s="47" t="s">
        <v>22</v>
      </c>
      <c r="C16" s="10">
        <f>SUM(C9:C15)</f>
        <v>50813310.478987239</v>
      </c>
      <c r="D16" s="11" t="s">
        <v>3</v>
      </c>
      <c r="E16" s="1"/>
    </row>
    <row r="17" spans="1:5" ht="15" customHeight="1" x14ac:dyDescent="0.25">
      <c r="A17" s="1"/>
      <c r="B17" s="35" t="s">
        <v>13</v>
      </c>
      <c r="C17" s="36"/>
      <c r="D17" s="20"/>
      <c r="E17" s="1"/>
    </row>
    <row r="18" spans="1:5" ht="15" customHeight="1" x14ac:dyDescent="0.25">
      <c r="A18" s="1"/>
      <c r="B18" s="62" t="s">
        <v>13</v>
      </c>
      <c r="C18" s="10">
        <f>'Fane 6. Ikke-påvirkelige omk.'!C16*(1+'Fane 14. Nøgletal'!C14)+'Fane 6. Ikke-påvirkelige omk.'!C21+'Fane 6. Ikke-påvirkelige omk.'!C29</f>
        <v>10484244.974838579</v>
      </c>
      <c r="D18" s="11" t="s">
        <v>3</v>
      </c>
      <c r="E18" s="1"/>
    </row>
    <row r="19" spans="1:5" ht="15" customHeight="1" x14ac:dyDescent="0.25">
      <c r="A19" s="1"/>
      <c r="B19" s="35" t="s">
        <v>78</v>
      </c>
      <c r="C19" s="36"/>
      <c r="D19" s="20"/>
      <c r="E19" s="1"/>
    </row>
    <row r="20" spans="1:5" ht="15" customHeight="1" x14ac:dyDescent="0.25">
      <c r="A20" s="1"/>
      <c r="B20" s="50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5" t="s">
        <v>77</v>
      </c>
      <c r="C21" s="36"/>
      <c r="D21" s="20"/>
      <c r="E21" s="1"/>
    </row>
    <row r="22" spans="1:5" ht="15" customHeight="1" x14ac:dyDescent="0.25">
      <c r="A22" s="1"/>
      <c r="B22" s="44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4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171</v>
      </c>
      <c r="C25" s="36"/>
      <c r="D25" s="20"/>
      <c r="E25" s="1"/>
    </row>
    <row r="26" spans="1:5" ht="15" customHeight="1" x14ac:dyDescent="0.25">
      <c r="A26" s="1"/>
      <c r="B26" s="62" t="s">
        <v>288</v>
      </c>
      <c r="C26" s="10">
        <f>'Fane 7. Kontrol af ØR2020'!E32</f>
        <v>-3323274.6336126328</v>
      </c>
      <c r="D26" s="11" t="s">
        <v>3</v>
      </c>
      <c r="E26" s="1"/>
    </row>
    <row r="27" spans="1:5" x14ac:dyDescent="0.25">
      <c r="A27" s="1"/>
      <c r="B27" s="37" t="s">
        <v>262</v>
      </c>
      <c r="C27" s="36"/>
      <c r="D27" s="20"/>
      <c r="E27" s="1"/>
    </row>
    <row r="28" spans="1:5" x14ac:dyDescent="0.25">
      <c r="A28" s="1"/>
      <c r="B28" s="60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5" t="s">
        <v>86</v>
      </c>
      <c r="C29" s="12">
        <f>SUM(C16,C18,C20,C24,C26,C28)</f>
        <v>57974280.820213184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f1wcqiRKBJxt3Q+eQGmInZZHztqqFw+mAHMjvtfA4uZ226x6HOOsLPZkX6d/QbeTYHff3DMj5Q5UgVoG2XaQg==" saltValue="OhP3ZFXPTQF7vKv8Aped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9"/>
  <sheetViews>
    <sheetView showGridLines="0" view="pageLayout" zoomScaleNormal="100" workbookViewId="0">
      <selection activeCell="C8" sqref="C8:C26"/>
    </sheetView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183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42" t="s">
        <v>139</v>
      </c>
      <c r="C8" s="7">
        <f>'Fane 2.2. Økonomisk ramme 2023'!C16</f>
        <v>50813310.478987239</v>
      </c>
      <c r="D8" s="8" t="s">
        <v>3</v>
      </c>
      <c r="E8" s="1"/>
    </row>
    <row r="9" spans="1:5" ht="15" customHeight="1" x14ac:dyDescent="0.25">
      <c r="A9" s="1"/>
      <c r="B9" s="42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2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Nøgletal'!C14</f>
        <v>167683.92458065788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krav'!G11</f>
        <v>-481165.00516124262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drift'!G56</f>
        <v>-396465.36452786962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anlæg'!G54</f>
        <v>-478709.52724379703</v>
      </c>
      <c r="D14" s="8" t="s">
        <v>3</v>
      </c>
      <c r="E14" s="1"/>
    </row>
    <row r="15" spans="1:5" x14ac:dyDescent="0.25">
      <c r="A15" s="1"/>
      <c r="B15" s="47" t="s">
        <v>22</v>
      </c>
      <c r="C15" s="10">
        <f>SUM(C8:C14)</f>
        <v>49624654.506634988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2" t="s">
        <v>13</v>
      </c>
      <c r="C17" s="10">
        <f>'Fane 6. Ikke-påvirkelige omk.'!C16*(1+'Fane 14. Nøgletal'!C14)^2+'Fane 6. Ikke-påvirkelige omk.'!C22+'Fane 6. Ikke-påvirkelige omk.'!C30</f>
        <v>10516876.153555548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50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4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4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50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60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60141530.660190538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xVjoLQlo0IinwL07JQeBmjFqWHuu6CrT6Ew+Ts9sKFDI41/Qp0xO1gYpyjaxeE5+CxD12Z34lq+Ysc7cERx/A==" saltValue="ySgKGJsASVX3julbSvET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49"/>
  <sheetViews>
    <sheetView showGridLines="0" view="pageLayout" zoomScaleNormal="100" workbookViewId="0">
      <selection activeCell="B3" sqref="B3:D4"/>
    </sheetView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184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42" t="s">
        <v>185</v>
      </c>
      <c r="C8" s="7">
        <f>'Fane 2.3. Økonomisk ramme 2024'!C15</f>
        <v>49624654.506634988</v>
      </c>
      <c r="D8" s="8" t="s">
        <v>3</v>
      </c>
      <c r="E8" s="1"/>
    </row>
    <row r="9" spans="1:5" ht="15" customHeight="1" x14ac:dyDescent="0.25">
      <c r="A9" s="1"/>
      <c r="B9" s="42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2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Nøgletal'!C14</f>
        <v>163761.35987189546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krav'!G11</f>
        <v>-469909.29968406603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drift'!G62</f>
        <v>-389818.2262261954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anlæg'!G60</f>
        <v>-473180.98750718281</v>
      </c>
      <c r="D14" s="8" t="s">
        <v>3</v>
      </c>
      <c r="E14" s="1"/>
    </row>
    <row r="15" spans="1:5" x14ac:dyDescent="0.25">
      <c r="A15" s="1"/>
      <c r="B15" s="47" t="s">
        <v>22</v>
      </c>
      <c r="C15" s="10">
        <f>SUM(C8:C14)</f>
        <v>48455507.353089444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2" t="s">
        <v>13</v>
      </c>
      <c r="C17" s="10">
        <f>'Fane 6. Ikke-påvirkelige omk.'!C16*(1+'Fane 14. Nøgletal'!C14)^3+'Fane 6. Ikke-påvirkelige omk.'!C23+'Fane 6. Ikke-påvirkelige omk.'!C31</f>
        <v>10549615.015162282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50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4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4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50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59005122.368251726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6JqKov1SElbjLn3ggrY/pIMFcmDxJ/V53QR+KG9iXoYnRMVXuje/xfvzOj/nmoS3h73fMGpXOzgJeenO0o5zw==" saltValue="NxcNBCFqO1pZVKQYhieYH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187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104" t="s">
        <v>25</v>
      </c>
      <c r="C9" s="105"/>
      <c r="D9" s="106"/>
      <c r="E9" s="7">
        <v>52239646.6288682</v>
      </c>
      <c r="F9" s="8" t="s">
        <v>3</v>
      </c>
      <c r="G9" s="1"/>
    </row>
    <row r="10" spans="1:7" ht="14.25" customHeight="1" x14ac:dyDescent="0.25">
      <c r="A10" s="1"/>
      <c r="B10" s="100" t="s">
        <v>227</v>
      </c>
      <c r="C10" s="101"/>
      <c r="D10" s="102"/>
      <c r="E10" s="7">
        <v>0</v>
      </c>
      <c r="F10" s="8" t="s">
        <v>3</v>
      </c>
      <c r="G10" s="1"/>
    </row>
    <row r="11" spans="1:7" ht="14.25" customHeight="1" x14ac:dyDescent="0.25">
      <c r="A11" s="1"/>
      <c r="B11" s="100" t="s">
        <v>228</v>
      </c>
      <c r="C11" s="101"/>
      <c r="D11" s="102"/>
      <c r="E11" s="7">
        <v>270909.74989565229</v>
      </c>
      <c r="F11" s="8" t="s">
        <v>3</v>
      </c>
      <c r="G11" s="1"/>
    </row>
    <row r="12" spans="1:7" x14ac:dyDescent="0.25">
      <c r="A12" s="1"/>
      <c r="B12" s="100" t="s">
        <v>189</v>
      </c>
      <c r="C12" s="101"/>
      <c r="D12" s="102"/>
      <c r="E12" s="9">
        <v>74251.932971277609</v>
      </c>
      <c r="F12" s="8" t="s">
        <v>3</v>
      </c>
      <c r="G12" s="1"/>
    </row>
    <row r="13" spans="1:7" x14ac:dyDescent="0.25">
      <c r="A13" s="1"/>
      <c r="B13" s="100" t="s">
        <v>190</v>
      </c>
      <c r="C13" s="101"/>
      <c r="D13" s="102"/>
      <c r="E13" s="9">
        <v>356741.21169404004</v>
      </c>
      <c r="F13" s="8" t="s">
        <v>3</v>
      </c>
      <c r="G13" s="1"/>
    </row>
    <row r="14" spans="1:7" x14ac:dyDescent="0.25">
      <c r="A14" s="1"/>
      <c r="B14" s="91" t="s">
        <v>43</v>
      </c>
      <c r="C14" s="92"/>
      <c r="D14" s="93"/>
      <c r="E14" s="9">
        <v>121533.84179999999</v>
      </c>
      <c r="F14" s="8" t="s">
        <v>3</v>
      </c>
      <c r="G14" s="1"/>
    </row>
    <row r="15" spans="1:7" x14ac:dyDescent="0.25">
      <c r="A15" s="1"/>
      <c r="B15" s="91" t="s">
        <v>44</v>
      </c>
      <c r="C15" s="92"/>
      <c r="D15" s="93"/>
      <c r="E15" s="9">
        <v>703269.47459999996</v>
      </c>
      <c r="F15" s="8" t="s">
        <v>3</v>
      </c>
      <c r="G15" s="1"/>
    </row>
    <row r="16" spans="1:7" x14ac:dyDescent="0.25">
      <c r="A16" s="1"/>
      <c r="B16" s="91" t="s">
        <v>30</v>
      </c>
      <c r="C16" s="92"/>
      <c r="D16" s="93"/>
      <c r="E16" s="9">
        <v>0</v>
      </c>
      <c r="F16" s="8" t="s">
        <v>3</v>
      </c>
      <c r="G16" s="1"/>
    </row>
    <row r="17" spans="1:7" x14ac:dyDescent="0.25">
      <c r="A17" s="1"/>
      <c r="B17" s="91" t="s">
        <v>29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137</v>
      </c>
      <c r="C18" s="92"/>
      <c r="D18" s="93"/>
      <c r="E18" s="9">
        <v>0</v>
      </c>
      <c r="F18" s="8" t="s">
        <v>3</v>
      </c>
      <c r="G18" s="1"/>
    </row>
    <row r="19" spans="1:7" x14ac:dyDescent="0.25">
      <c r="A19" s="1"/>
      <c r="B19" s="91" t="s">
        <v>138</v>
      </c>
      <c r="C19" s="92"/>
      <c r="D19" s="93"/>
      <c r="E19" s="9">
        <v>0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9">
        <v>925042.05553359992</v>
      </c>
      <c r="F20" s="8" t="s">
        <v>3</v>
      </c>
      <c r="G20" s="1"/>
    </row>
    <row r="21" spans="1:7" x14ac:dyDescent="0.25">
      <c r="A21" s="1"/>
      <c r="B21" s="91" t="s">
        <v>10</v>
      </c>
      <c r="C21" s="92"/>
      <c r="D21" s="93"/>
      <c r="E21" s="9">
        <v>0</v>
      </c>
      <c r="F21" s="8" t="s">
        <v>3</v>
      </c>
      <c r="G21" s="1"/>
    </row>
    <row r="22" spans="1:7" x14ac:dyDescent="0.25">
      <c r="A22" s="1"/>
      <c r="B22" s="91" t="s">
        <v>27</v>
      </c>
      <c r="C22" s="92"/>
      <c r="D22" s="93"/>
      <c r="E22" s="9">
        <f>-'Fane 4.1. Gen. krav - drift'!G36</f>
        <v>-412682.18967415515</v>
      </c>
      <c r="F22" s="8" t="s">
        <v>3</v>
      </c>
      <c r="G22" s="1"/>
    </row>
    <row r="23" spans="1:7" x14ac:dyDescent="0.25">
      <c r="A23" s="1"/>
      <c r="B23" s="91" t="s">
        <v>28</v>
      </c>
      <c r="C23" s="92"/>
      <c r="D23" s="93"/>
      <c r="E23" s="9">
        <f>-'Fane 4.2. Gen. krav - anlæg'!G34</f>
        <v>-602033.9409569772</v>
      </c>
      <c r="F23" s="8" t="s">
        <v>3</v>
      </c>
      <c r="G23" s="1"/>
    </row>
    <row r="24" spans="1:7" x14ac:dyDescent="0.25">
      <c r="A24" s="1"/>
      <c r="B24" s="94" t="s">
        <v>22</v>
      </c>
      <c r="C24" s="95"/>
      <c r="D24" s="96"/>
      <c r="E24" s="10">
        <f>SUM(E9,E14:E23)</f>
        <v>52974775.870170668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88" t="s">
        <v>13</v>
      </c>
      <c r="C26" s="89"/>
      <c r="D26" s="90"/>
      <c r="E26" s="10">
        <v>9638903.4871336408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97" t="s">
        <v>78</v>
      </c>
      <c r="C28" s="98"/>
      <c r="D28" s="99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100" t="s">
        <v>73</v>
      </c>
      <c r="C30" s="101"/>
      <c r="D30" s="102"/>
      <c r="E30" s="33">
        <v>943612.55528652004</v>
      </c>
      <c r="F30" s="8" t="s">
        <v>3</v>
      </c>
      <c r="G30" s="1"/>
    </row>
    <row r="31" spans="1:7" ht="15.75" customHeight="1" x14ac:dyDescent="0.25">
      <c r="A31" s="1"/>
      <c r="B31" s="100" t="s">
        <v>74</v>
      </c>
      <c r="C31" s="101"/>
      <c r="D31" s="102"/>
      <c r="E31" s="33">
        <v>0</v>
      </c>
      <c r="F31" s="8" t="s">
        <v>3</v>
      </c>
      <c r="G31" s="1"/>
    </row>
    <row r="32" spans="1:7" x14ac:dyDescent="0.25">
      <c r="A32" s="1"/>
      <c r="B32" s="50" t="s">
        <v>79</v>
      </c>
      <c r="C32" s="48"/>
      <c r="D32" s="49"/>
      <c r="E32" s="10">
        <v>924740.30418078962</v>
      </c>
      <c r="F32" s="11" t="s">
        <v>3</v>
      </c>
      <c r="G32" s="1"/>
    </row>
    <row r="33" spans="1:7" x14ac:dyDescent="0.25">
      <c r="A33" s="1"/>
      <c r="B33" s="35" t="s">
        <v>282</v>
      </c>
      <c r="C33" s="36"/>
      <c r="D33" s="36"/>
      <c r="E33" s="36"/>
      <c r="F33" s="20"/>
      <c r="G33" s="1"/>
    </row>
    <row r="34" spans="1:7" ht="15" customHeight="1" x14ac:dyDescent="0.25">
      <c r="A34" s="1"/>
      <c r="B34" s="88" t="s">
        <v>282</v>
      </c>
      <c r="C34" s="89"/>
      <c r="D34" s="90"/>
      <c r="E34" s="10">
        <v>-596009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62942410.661485091</v>
      </c>
      <c r="F35" s="13" t="s">
        <v>3</v>
      </c>
      <c r="G35" s="1"/>
    </row>
    <row r="36" spans="1:7" ht="26.85" customHeight="1" x14ac:dyDescent="0.25">
      <c r="A36" s="1"/>
      <c r="B36" s="85" t="s">
        <v>226</v>
      </c>
      <c r="C36" s="86"/>
      <c r="D36" s="86"/>
      <c r="E36" s="86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KhuUyAv2PoPkH1RcmBF1bZvrDhg+NE+Ym7AxPqHvfB9ZeuJ1TPKMLANMfv66474G7f8Vrf5A7ZXBxhrfDtxbZg==" saltValue="xeHrqTLb55t792FwRx5lNA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3" t="s">
        <v>121</v>
      </c>
      <c r="C1" s="103"/>
      <c r="D1" s="103"/>
      <c r="E1" s="103"/>
      <c r="F1" s="103"/>
      <c r="G1" s="103"/>
      <c r="H1" s="103"/>
      <c r="I1" s="1"/>
    </row>
    <row r="2" spans="1:9" ht="15" customHeight="1" x14ac:dyDescent="0.2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113" t="s">
        <v>229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230</v>
      </c>
      <c r="C5" s="111"/>
      <c r="D5" s="111"/>
      <c r="E5" s="111"/>
      <c r="F5" s="112"/>
      <c r="G5" s="24">
        <v>20670010.917066451</v>
      </c>
      <c r="H5" s="14" t="s">
        <v>3</v>
      </c>
      <c r="I5" s="1"/>
    </row>
    <row r="6" spans="1:9" ht="15" customHeight="1" x14ac:dyDescent="0.25">
      <c r="A6" s="1"/>
      <c r="B6" s="85" t="s">
        <v>231</v>
      </c>
      <c r="C6" s="86"/>
      <c r="D6" s="86"/>
      <c r="E6" s="86"/>
      <c r="F6" s="87"/>
      <c r="G6" s="7">
        <v>0</v>
      </c>
      <c r="H6" s="14" t="s">
        <v>3</v>
      </c>
      <c r="I6" s="1"/>
    </row>
    <row r="7" spans="1:9" x14ac:dyDescent="0.25">
      <c r="A7" s="1"/>
      <c r="B7" s="110" t="s">
        <v>232</v>
      </c>
      <c r="C7" s="111"/>
      <c r="D7" s="111"/>
      <c r="E7" s="111"/>
      <c r="F7" s="112"/>
      <c r="G7" s="24">
        <f>SUM(G5:G6)*'Fane 14. Nøgletal'!C29</f>
        <v>413400.21834132902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3" t="s">
        <v>53</v>
      </c>
      <c r="C10" s="114"/>
      <c r="D10" s="114"/>
      <c r="E10" s="114"/>
      <c r="F10" s="114"/>
      <c r="G10" s="114"/>
      <c r="H10" s="115"/>
      <c r="I10" s="1"/>
    </row>
    <row r="11" spans="1:9" x14ac:dyDescent="0.25">
      <c r="A11" s="1"/>
      <c r="B11" s="110" t="s">
        <v>233</v>
      </c>
      <c r="C11" s="111"/>
      <c r="D11" s="111"/>
      <c r="E11" s="111"/>
      <c r="F11" s="112"/>
      <c r="G11" s="24">
        <f>(G5-G7)*(1+'Fane 14. Nøgletal'!C10)</f>
        <v>20611101.385952815</v>
      </c>
      <c r="H11" s="14" t="s">
        <v>3</v>
      </c>
      <c r="I11" s="1"/>
    </row>
    <row r="12" spans="1:9" x14ac:dyDescent="0.25">
      <c r="A12" s="1"/>
      <c r="B12" s="110" t="s">
        <v>133</v>
      </c>
      <c r="C12" s="111"/>
      <c r="D12" s="111"/>
      <c r="E12" s="111"/>
      <c r="F12" s="112"/>
      <c r="G12" s="7">
        <v>0</v>
      </c>
      <c r="H12" s="14" t="s">
        <v>3</v>
      </c>
      <c r="I12" s="1"/>
    </row>
    <row r="13" spans="1:9" x14ac:dyDescent="0.25">
      <c r="A13" s="1"/>
      <c r="B13" s="85" t="s">
        <v>131</v>
      </c>
      <c r="C13" s="86"/>
      <c r="D13" s="86"/>
      <c r="E13" s="86"/>
      <c r="F13" s="87"/>
      <c r="G13" s="7">
        <v>0</v>
      </c>
      <c r="H13" s="14" t="s">
        <v>3</v>
      </c>
      <c r="I13" s="1"/>
    </row>
    <row r="14" spans="1:9" x14ac:dyDescent="0.25">
      <c r="A14" s="1"/>
      <c r="B14" s="107" t="s">
        <v>234</v>
      </c>
      <c r="C14" s="108"/>
      <c r="D14" s="108"/>
      <c r="E14" s="108"/>
      <c r="F14" s="109"/>
      <c r="G14" s="7">
        <v>0</v>
      </c>
      <c r="H14" s="14" t="s">
        <v>3</v>
      </c>
      <c r="I14" s="1"/>
    </row>
    <row r="15" spans="1:9" x14ac:dyDescent="0.25">
      <c r="A15" s="1"/>
      <c r="B15" s="110" t="s">
        <v>46</v>
      </c>
      <c r="C15" s="111"/>
      <c r="D15" s="111"/>
      <c r="E15" s="111"/>
      <c r="F15" s="112"/>
      <c r="G15" s="24">
        <f>SUM(G11:G14)*'Fane 14. Nøgletal'!C29</f>
        <v>412222.02771905629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3" t="s">
        <v>54</v>
      </c>
      <c r="C18" s="114"/>
      <c r="D18" s="114"/>
      <c r="E18" s="114"/>
      <c r="F18" s="114"/>
      <c r="G18" s="114"/>
      <c r="H18" s="115"/>
      <c r="I18" s="1"/>
    </row>
    <row r="19" spans="1:9" x14ac:dyDescent="0.25">
      <c r="A19" s="1"/>
      <c r="B19" s="110" t="s">
        <v>47</v>
      </c>
      <c r="C19" s="111"/>
      <c r="D19" s="111"/>
      <c r="E19" s="111"/>
      <c r="F19" s="112"/>
      <c r="G19" s="24">
        <f>(G11+G12+G14-G15)*(1+'Fane 14. Nøgletal'!C10)</f>
        <v>20552359.747002851</v>
      </c>
      <c r="H19" s="14" t="s">
        <v>3</v>
      </c>
      <c r="I19" s="1"/>
    </row>
    <row r="20" spans="1:9" x14ac:dyDescent="0.25">
      <c r="A20" s="1"/>
      <c r="B20" s="107" t="s">
        <v>48</v>
      </c>
      <c r="C20" s="108"/>
      <c r="D20" s="108"/>
      <c r="E20" s="108"/>
      <c r="F20" s="109"/>
      <c r="G20" s="7">
        <v>0</v>
      </c>
      <c r="H20" s="14" t="s">
        <v>3</v>
      </c>
      <c r="I20" s="1"/>
    </row>
    <row r="21" spans="1:9" x14ac:dyDescent="0.25">
      <c r="A21" s="1"/>
      <c r="B21" s="110" t="s">
        <v>49</v>
      </c>
      <c r="C21" s="111"/>
      <c r="D21" s="111"/>
      <c r="E21" s="111"/>
      <c r="F21" s="112"/>
      <c r="G21" s="24">
        <f>(G19+G20)*'Fane 14. Nøgletal'!C29</f>
        <v>411047.19494005706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3" t="s">
        <v>55</v>
      </c>
      <c r="C24" s="114"/>
      <c r="D24" s="114"/>
      <c r="E24" s="114"/>
      <c r="F24" s="114"/>
      <c r="G24" s="114"/>
      <c r="H24" s="115"/>
      <c r="I24" s="1"/>
    </row>
    <row r="25" spans="1:9" x14ac:dyDescent="0.25">
      <c r="A25" s="1"/>
      <c r="B25" s="110" t="s">
        <v>50</v>
      </c>
      <c r="C25" s="111"/>
      <c r="D25" s="111"/>
      <c r="E25" s="111"/>
      <c r="F25" s="112"/>
      <c r="G25" s="24">
        <f>G19*(1-'Fane 14. Nøgletal'!C29)*(1+'Fane 14. Nøgletal'!C10)+G20*(1-'Fane 14. Nøgletal'!C29)*(1+'Fane 14. Nøgletal'!C11)</f>
        <v>20493785.521723896</v>
      </c>
      <c r="H25" s="14" t="s">
        <v>3</v>
      </c>
      <c r="I25" s="1"/>
    </row>
    <row r="26" spans="1:9" x14ac:dyDescent="0.25">
      <c r="A26" s="1"/>
      <c r="B26" s="116" t="s">
        <v>235</v>
      </c>
      <c r="C26" s="117"/>
      <c r="D26" s="117"/>
      <c r="E26" s="117"/>
      <c r="F26" s="118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07" t="s">
        <v>51</v>
      </c>
      <c r="C27" s="108"/>
      <c r="D27" s="108"/>
      <c r="E27" s="108"/>
      <c r="F27" s="109"/>
      <c r="G27" s="24">
        <v>75767.27854212001</v>
      </c>
      <c r="H27" s="14" t="s">
        <v>3</v>
      </c>
      <c r="I27" s="1"/>
    </row>
    <row r="28" spans="1:9" x14ac:dyDescent="0.25">
      <c r="A28" s="1"/>
      <c r="B28" s="110" t="s">
        <v>52</v>
      </c>
      <c r="C28" s="111"/>
      <c r="D28" s="111"/>
      <c r="E28" s="111"/>
      <c r="F28" s="112"/>
      <c r="G28" s="24">
        <f>SUM(G25,G27)*'Fane 14. Nøgletal'!C29</f>
        <v>411391.05600532034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3" t="s">
        <v>56</v>
      </c>
      <c r="C31" s="114"/>
      <c r="D31" s="114"/>
      <c r="E31" s="114"/>
      <c r="F31" s="114"/>
      <c r="G31" s="114"/>
      <c r="H31" s="115"/>
      <c r="I31" s="1"/>
    </row>
    <row r="32" spans="1:9" x14ac:dyDescent="0.25">
      <c r="A32" s="1"/>
      <c r="B32" s="110" t="s">
        <v>57</v>
      </c>
      <c r="C32" s="111"/>
      <c r="D32" s="111"/>
      <c r="E32" s="111"/>
      <c r="F32" s="112"/>
      <c r="G32" s="24">
        <f>(G25-G26)*(1-'Fane 14. Nøgletal'!C29)*(1+'Fane 14. Nøgletal'!C10)+G26*(1-'Fane 14. Nøgletal'!C29)*(1+'Fane 14. Nøgletal'!C11)+G27*(1-'Fane 14. Nøgletal'!C29)*(1+'Fane 14. Nøgletal'!C12)</f>
        <v>20511092.929037794</v>
      </c>
      <c r="H32" s="14" t="s">
        <v>3</v>
      </c>
      <c r="I32" s="1"/>
    </row>
    <row r="33" spans="1:9" x14ac:dyDescent="0.25">
      <c r="A33" s="1"/>
      <c r="B33" s="116" t="s">
        <v>235</v>
      </c>
      <c r="C33" s="108"/>
      <c r="D33" s="108"/>
      <c r="E33" s="108"/>
      <c r="F33" s="109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6" t="s">
        <v>130</v>
      </c>
      <c r="C34" s="108"/>
      <c r="D34" s="108"/>
      <c r="E34" s="108"/>
      <c r="F34" s="109"/>
      <c r="G34" s="24">
        <f>G27*(1-'Fane 14. Nøgletal'!C29)*(1+'Fane 14. Nøgletal'!C12)</f>
        <v>75714.696050811777</v>
      </c>
      <c r="H34" s="14" t="s">
        <v>3</v>
      </c>
      <c r="I34" s="1"/>
    </row>
    <row r="35" spans="1:9" x14ac:dyDescent="0.25">
      <c r="A35" s="1"/>
      <c r="B35" s="110" t="s">
        <v>159</v>
      </c>
      <c r="C35" s="111"/>
      <c r="D35" s="111"/>
      <c r="E35" s="111"/>
      <c r="F35" s="112"/>
      <c r="G35" s="24">
        <v>123016.55466995999</v>
      </c>
      <c r="H35" s="14" t="s">
        <v>3</v>
      </c>
      <c r="I35" s="1"/>
    </row>
    <row r="36" spans="1:9" x14ac:dyDescent="0.25">
      <c r="A36" s="1"/>
      <c r="B36" s="110" t="s">
        <v>58</v>
      </c>
      <c r="C36" s="111"/>
      <c r="D36" s="111"/>
      <c r="E36" s="111"/>
      <c r="F36" s="112"/>
      <c r="G36" s="24">
        <f>SUM(G32,G35)*'Fane 14. Nøgletal'!C29</f>
        <v>412682.18967415515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3" t="s">
        <v>191</v>
      </c>
      <c r="C39" s="114"/>
      <c r="D39" s="114"/>
      <c r="E39" s="114"/>
      <c r="F39" s="114"/>
      <c r="G39" s="114"/>
      <c r="H39" s="115"/>
      <c r="I39" s="1"/>
    </row>
    <row r="40" spans="1:9" x14ac:dyDescent="0.25">
      <c r="A40" s="1"/>
      <c r="B40" s="110" t="s">
        <v>245</v>
      </c>
      <c r="C40" s="111"/>
      <c r="D40" s="111"/>
      <c r="E40" s="111"/>
      <c r="F40" s="112"/>
      <c r="G40" s="24">
        <f>(SUM(G32,G35)-G36)*(1+'Fane 14. Nøgletal'!C14)</f>
        <v>20288158.004103914</v>
      </c>
      <c r="H40" s="14" t="s">
        <v>3</v>
      </c>
      <c r="I40" s="1"/>
    </row>
    <row r="41" spans="1:9" x14ac:dyDescent="0.25">
      <c r="A41" s="1"/>
      <c r="B41" s="110" t="s">
        <v>244</v>
      </c>
      <c r="C41" s="111"/>
      <c r="D41" s="111"/>
      <c r="E41" s="111"/>
      <c r="F41" s="112"/>
      <c r="G41" s="24">
        <f>(SUM('Fane 2.1. Økonomisk ramme 2022'!C10,'Fane 2.1. Økonomisk ramme 2022'!C12,'Fane 2.1. Økonomisk ramme 2022'!C14)*(1+'Fane 14. Nøgletal'!C14))</f>
        <v>216922.63357322005</v>
      </c>
      <c r="H41" s="14" t="s">
        <v>3</v>
      </c>
      <c r="I41" s="1"/>
    </row>
    <row r="42" spans="1:9" x14ac:dyDescent="0.25">
      <c r="A42" s="1"/>
      <c r="B42" s="110" t="s">
        <v>243</v>
      </c>
      <c r="C42" s="111"/>
      <c r="D42" s="111"/>
      <c r="E42" s="111"/>
      <c r="F42" s="112"/>
      <c r="G42" s="24">
        <f>(G40+G41)*'Fane 14. Nøgletal'!C29</f>
        <v>410101.61275354266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3" t="s">
        <v>223</v>
      </c>
      <c r="C45" s="114"/>
      <c r="D45" s="114"/>
      <c r="E45" s="114"/>
      <c r="F45" s="114"/>
      <c r="G45" s="114"/>
      <c r="H45" s="115"/>
      <c r="I45" s="1"/>
    </row>
    <row r="46" spans="1:9" x14ac:dyDescent="0.25">
      <c r="A46" s="1"/>
      <c r="B46" s="110" t="s">
        <v>256</v>
      </c>
      <c r="C46" s="111"/>
      <c r="D46" s="111"/>
      <c r="E46" s="111"/>
      <c r="F46" s="112"/>
      <c r="G46" s="24">
        <f>(G40+G41-G42)*(1+'Fane 14. Nøgletal'!C14)</f>
        <v>20161292.45570584</v>
      </c>
      <c r="H46" s="14" t="s">
        <v>3</v>
      </c>
      <c r="I46" s="1"/>
    </row>
    <row r="47" spans="1:9" x14ac:dyDescent="0.25">
      <c r="A47" s="1"/>
      <c r="B47" s="116" t="s">
        <v>258</v>
      </c>
      <c r="C47" s="108"/>
      <c r="D47" s="108"/>
      <c r="E47" s="108"/>
      <c r="F47" s="109"/>
      <c r="G47" s="24">
        <f>G41*(1+'Fane 14. Nøgletal'!C14)</f>
        <v>217638.4782640117</v>
      </c>
      <c r="H47" s="14" t="s">
        <v>3</v>
      </c>
      <c r="I47" s="1"/>
    </row>
    <row r="48" spans="1:9" x14ac:dyDescent="0.25">
      <c r="A48" s="1"/>
      <c r="B48" s="110" t="s">
        <v>81</v>
      </c>
      <c r="C48" s="111"/>
      <c r="D48" s="111"/>
      <c r="E48" s="111"/>
      <c r="F48" s="112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10" t="s">
        <v>257</v>
      </c>
      <c r="C49" s="111"/>
      <c r="D49" s="111"/>
      <c r="E49" s="111"/>
      <c r="F49" s="112"/>
      <c r="G49" s="24">
        <f>(G46+G48)*'Fane 14. Nøgletal'!C29</f>
        <v>403225.84911411681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3" t="s">
        <v>160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0" t="s">
        <v>161</v>
      </c>
      <c r="C54" s="111"/>
      <c r="D54" s="111"/>
      <c r="E54" s="111"/>
      <c r="F54" s="112"/>
      <c r="G54" s="24">
        <f>(G46+G48-G49)*(1+'Fane 14. Nøgletal'!C14)</f>
        <v>19823268.22639348</v>
      </c>
      <c r="H54" s="14" t="s">
        <v>3</v>
      </c>
      <c r="I54" s="1"/>
    </row>
    <row r="55" spans="1:9" x14ac:dyDescent="0.25">
      <c r="A55" s="1"/>
      <c r="B55" s="110" t="s">
        <v>162</v>
      </c>
      <c r="C55" s="111"/>
      <c r="D55" s="111"/>
      <c r="E55" s="111"/>
      <c r="F55" s="112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10" t="s">
        <v>163</v>
      </c>
      <c r="C56" s="111"/>
      <c r="D56" s="111"/>
      <c r="E56" s="111"/>
      <c r="F56" s="112"/>
      <c r="G56" s="24">
        <f>(G54+G55)*'Fane 14. Nøgletal'!C29</f>
        <v>396465.36452786962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13" t="s">
        <v>224</v>
      </c>
      <c r="C59" s="114"/>
      <c r="D59" s="114"/>
      <c r="E59" s="114"/>
      <c r="F59" s="114"/>
      <c r="G59" s="114"/>
      <c r="H59" s="115"/>
      <c r="I59" s="1"/>
    </row>
    <row r="60" spans="1:9" x14ac:dyDescent="0.25">
      <c r="A60" s="1"/>
      <c r="B60" s="56" t="s">
        <v>236</v>
      </c>
      <c r="C60" s="57"/>
      <c r="D60" s="57"/>
      <c r="E60" s="57"/>
      <c r="F60" s="58"/>
      <c r="G60" s="24">
        <f>(G54+G55-G56)*(1+'Fane 14. Nøgletal'!C14)</f>
        <v>19490911.31130977</v>
      </c>
      <c r="H60" s="14" t="s">
        <v>3</v>
      </c>
      <c r="I60" s="1"/>
    </row>
    <row r="61" spans="1:9" x14ac:dyDescent="0.25">
      <c r="A61" s="1"/>
      <c r="B61" s="56" t="s">
        <v>237</v>
      </c>
      <c r="C61" s="57"/>
      <c r="D61" s="57"/>
      <c r="E61" s="57"/>
      <c r="F61" s="58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6" t="s">
        <v>238</v>
      </c>
      <c r="C62" s="57"/>
      <c r="D62" s="57"/>
      <c r="E62" s="57"/>
      <c r="F62" s="58"/>
      <c r="G62" s="24">
        <f>(G60+G61)*'Fane 14. Nøgletal'!C29</f>
        <v>389818.2262261954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TzfXEVh00mEVG+UTFWVC7sddE55OXwnzJRgI3PPB9htvaI4XsLe0+tHFlifiXOsdkpfgLsIPmrSsaA+LwsEtSA==" saltValue="w5jX86LsrFfbC4MqnqsQPA==" spinCount="100000" sheet="1" objects="1" scenarios="1"/>
  <mergeCells count="40"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I62"/>
  <sheetViews>
    <sheetView showGridLines="0" view="pageLayout" topLeftCell="A10" zoomScaleNormal="100" workbookViewId="0">
      <selection activeCell="H41" sqref="H41"/>
    </sheetView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25">
      <c r="A3" s="1"/>
      <c r="B3" s="119"/>
      <c r="C3" s="119"/>
      <c r="D3" s="119"/>
      <c r="E3" s="119"/>
      <c r="F3" s="119"/>
      <c r="G3" s="119"/>
      <c r="H3" s="119"/>
      <c r="I3" s="1"/>
    </row>
    <row r="4" spans="1:9" x14ac:dyDescent="0.25">
      <c r="A4" s="1"/>
      <c r="B4" s="113" t="s">
        <v>246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247</v>
      </c>
      <c r="C5" s="111"/>
      <c r="D5" s="111"/>
      <c r="E5" s="111"/>
      <c r="F5" s="112"/>
      <c r="G5" s="24">
        <v>30649542.231383901</v>
      </c>
      <c r="H5" s="14" t="s">
        <v>3</v>
      </c>
      <c r="I5" s="1"/>
    </row>
    <row r="6" spans="1:9" x14ac:dyDescent="0.25">
      <c r="A6" s="1"/>
      <c r="B6" s="110" t="s">
        <v>239</v>
      </c>
      <c r="C6" s="111"/>
      <c r="D6" s="111"/>
      <c r="E6" s="111"/>
      <c r="F6" s="112"/>
      <c r="G6" s="24">
        <f>G5*'Fane 14. Nøgletal'!C19</f>
        <v>278910.83430559351</v>
      </c>
      <c r="H6" s="14" t="s">
        <v>3</v>
      </c>
      <c r="I6" s="1"/>
    </row>
    <row r="7" spans="1:9" x14ac:dyDescent="0.25">
      <c r="A7" s="1"/>
      <c r="B7" s="35"/>
      <c r="C7" s="36"/>
      <c r="D7" s="36"/>
      <c r="E7" s="36"/>
      <c r="F7" s="36"/>
      <c r="G7" s="3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59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0" t="s">
        <v>248</v>
      </c>
      <c r="C10" s="111"/>
      <c r="D10" s="111"/>
      <c r="E10" s="111"/>
      <c r="F10" s="112"/>
      <c r="G10" s="24">
        <f>(G5-G6)*(1+'Fane 14. Nøgletal'!C10)</f>
        <v>30902117.446527183</v>
      </c>
      <c r="H10" s="14" t="s">
        <v>3</v>
      </c>
      <c r="I10" s="1"/>
    </row>
    <row r="11" spans="1:9" x14ac:dyDescent="0.25">
      <c r="A11" s="1"/>
      <c r="B11" s="110" t="s">
        <v>134</v>
      </c>
      <c r="C11" s="111"/>
      <c r="D11" s="111"/>
      <c r="E11" s="111"/>
      <c r="F11" s="112"/>
      <c r="G11" s="24">
        <v>1026689.2582445933</v>
      </c>
      <c r="H11" s="14" t="s">
        <v>3</v>
      </c>
      <c r="I11" s="1"/>
    </row>
    <row r="12" spans="1:9" x14ac:dyDescent="0.25">
      <c r="A12" s="1"/>
      <c r="B12" s="107" t="s">
        <v>249</v>
      </c>
      <c r="C12" s="108"/>
      <c r="D12" s="108"/>
      <c r="E12" s="108"/>
      <c r="F12" s="109"/>
      <c r="G12" s="24">
        <v>308619.61659375002</v>
      </c>
      <c r="H12" s="14" t="s">
        <v>3</v>
      </c>
      <c r="I12" s="1"/>
    </row>
    <row r="13" spans="1:9" x14ac:dyDescent="0.25">
      <c r="A13" s="1"/>
      <c r="B13" s="110" t="s">
        <v>60</v>
      </c>
      <c r="C13" s="111"/>
      <c r="D13" s="111"/>
      <c r="E13" s="111"/>
      <c r="F13" s="112"/>
      <c r="G13" s="24">
        <f>SUM(G10:G12)*'Fane 14. Nøgletal'!C20</f>
        <v>570602.44588816981</v>
      </c>
      <c r="H13" s="14" t="s">
        <v>3</v>
      </c>
      <c r="I13" s="1"/>
    </row>
    <row r="14" spans="1:9" x14ac:dyDescent="0.25">
      <c r="A14" s="1"/>
      <c r="B14" s="35"/>
      <c r="C14" s="36"/>
      <c r="D14" s="36"/>
      <c r="E14" s="36"/>
      <c r="F14" s="36"/>
      <c r="G14" s="3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3" t="s">
        <v>61</v>
      </c>
      <c r="C16" s="114"/>
      <c r="D16" s="114"/>
      <c r="E16" s="114"/>
      <c r="F16" s="114"/>
      <c r="G16" s="114"/>
      <c r="H16" s="115"/>
      <c r="I16" s="1"/>
    </row>
    <row r="17" spans="1:9" x14ac:dyDescent="0.25">
      <c r="A17" s="1"/>
      <c r="B17" s="110" t="s">
        <v>62</v>
      </c>
      <c r="C17" s="111"/>
      <c r="D17" s="111"/>
      <c r="E17" s="111"/>
      <c r="F17" s="112"/>
      <c r="G17" s="24">
        <f>(G10+G11+G12-G13)*(1+'Fane 14. Nøgletal'!C10)</f>
        <v>32220993.293298211</v>
      </c>
      <c r="H17" s="14" t="s">
        <v>3</v>
      </c>
      <c r="I17" s="1"/>
    </row>
    <row r="18" spans="1:9" x14ac:dyDescent="0.25">
      <c r="A18" s="1"/>
      <c r="B18" s="107" t="s">
        <v>63</v>
      </c>
      <c r="C18" s="108"/>
      <c r="D18" s="108"/>
      <c r="E18" s="108"/>
      <c r="F18" s="109"/>
      <c r="G18" s="24">
        <v>271104.15620247996</v>
      </c>
      <c r="H18" s="14" t="s">
        <v>3</v>
      </c>
      <c r="I18" s="1"/>
    </row>
    <row r="19" spans="1:9" x14ac:dyDescent="0.25">
      <c r="A19" s="1"/>
      <c r="B19" s="110" t="s">
        <v>64</v>
      </c>
      <c r="C19" s="111"/>
      <c r="D19" s="111"/>
      <c r="E19" s="111"/>
      <c r="F19" s="112"/>
      <c r="G19" s="24">
        <f>G17*'Fane 14. Nøgletal'!C20+G18*'Fane 14. Nøgletal'!C21</f>
        <v>572670.1874503399</v>
      </c>
      <c r="H19" s="14" t="s">
        <v>3</v>
      </c>
      <c r="I19" s="1"/>
    </row>
    <row r="20" spans="1:9" x14ac:dyDescent="0.25">
      <c r="A20" s="1"/>
      <c r="B20" s="35"/>
      <c r="C20" s="36"/>
      <c r="D20" s="36"/>
      <c r="E20" s="36"/>
      <c r="F20" s="36"/>
      <c r="G20" s="3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222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0" t="s">
        <v>65</v>
      </c>
      <c r="C23" s="111"/>
      <c r="D23" s="111"/>
      <c r="E23" s="111"/>
      <c r="F23" s="112"/>
      <c r="G23" s="24">
        <f>G17*(1-'Fane 14. Nøgletal'!C20)*(1+'Fane 14. Nøgletal'!C10)+G18*(1-'Fane 14. Nøgletal'!C21)*(1+'Fane 14. Nøgletal'!C11)</f>
        <v>32477855.991806205</v>
      </c>
      <c r="H23" s="14" t="s">
        <v>3</v>
      </c>
      <c r="I23" s="1"/>
    </row>
    <row r="24" spans="1:9" x14ac:dyDescent="0.25">
      <c r="A24" s="1"/>
      <c r="B24" s="116" t="s">
        <v>250</v>
      </c>
      <c r="C24" s="108"/>
      <c r="D24" s="108"/>
      <c r="E24" s="108"/>
      <c r="F24" s="109"/>
      <c r="G24" s="24">
        <f>G18*(1-'Fane 14. Nøgletal'!C21)*(1+'Fane 14. Nøgletal'!C11)</f>
        <v>273287.34983925382</v>
      </c>
      <c r="H24" s="14" t="s">
        <v>3</v>
      </c>
      <c r="I24" s="1"/>
    </row>
    <row r="25" spans="1:9" x14ac:dyDescent="0.25">
      <c r="A25" s="1"/>
      <c r="B25" s="107" t="s">
        <v>66</v>
      </c>
      <c r="C25" s="108"/>
      <c r="D25" s="108"/>
      <c r="E25" s="108"/>
      <c r="F25" s="109"/>
      <c r="G25" s="24">
        <v>367168.80577813921</v>
      </c>
      <c r="H25" s="14" t="s">
        <v>3</v>
      </c>
      <c r="I25" s="1"/>
    </row>
    <row r="26" spans="1:9" x14ac:dyDescent="0.25">
      <c r="A26" s="1"/>
      <c r="B26" s="110" t="s">
        <v>67</v>
      </c>
      <c r="C26" s="111"/>
      <c r="D26" s="111"/>
      <c r="E26" s="111"/>
      <c r="F26" s="112"/>
      <c r="G26" s="24">
        <f>(G23-G24)*'Fane 14. Nøgletal'!C21+G24*'Fane 14. Nøgletal'!C22+G25*'Fane 14. Nøgletal'!C23</f>
        <v>298038.25007944606</v>
      </c>
      <c r="H26" s="14" t="s">
        <v>3</v>
      </c>
      <c r="I26" s="1"/>
    </row>
    <row r="27" spans="1:9" x14ac:dyDescent="0.25">
      <c r="A27" s="1"/>
      <c r="B27" s="35"/>
      <c r="C27" s="36"/>
      <c r="D27" s="36"/>
      <c r="E27" s="36"/>
      <c r="F27" s="36"/>
      <c r="G27" s="3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3" t="s">
        <v>68</v>
      </c>
      <c r="C29" s="114"/>
      <c r="D29" s="114"/>
      <c r="E29" s="114"/>
      <c r="F29" s="114"/>
      <c r="G29" s="114"/>
      <c r="H29" s="115"/>
      <c r="I29" s="1"/>
    </row>
    <row r="30" spans="1:9" x14ac:dyDescent="0.25">
      <c r="A30" s="1"/>
      <c r="B30" s="110" t="s">
        <v>69</v>
      </c>
      <c r="C30" s="111"/>
      <c r="D30" s="111"/>
      <c r="E30" s="111"/>
      <c r="F30" s="112"/>
      <c r="G30" s="24">
        <f>(G23-G24)*(1-'Fane 14. Nøgletal'!C20)*(1+'Fane 14. Nøgletal'!C10)+G24*(1-'Fane 14. Nøgletal'!C21)*(1+'Fane 14. Nøgletal'!C11)+G25*(1-'Fane 14. Nøgletal'!C22)*(1+'Fane 14. Nøgletal'!C12)</f>
        <v>32827409.50133501</v>
      </c>
      <c r="H30" s="14" t="s">
        <v>3</v>
      </c>
      <c r="I30" s="1"/>
    </row>
    <row r="31" spans="1:9" x14ac:dyDescent="0.25">
      <c r="A31" s="1"/>
      <c r="B31" s="116" t="s">
        <v>251</v>
      </c>
      <c r="C31" s="108"/>
      <c r="D31" s="108"/>
      <c r="E31" s="108"/>
      <c r="F31" s="109"/>
      <c r="G31" s="24">
        <f>G24*(1-'Fane 14. Nøgletal'!C21)*(1+'Fane 14. Nøgletal'!C11)</f>
        <v>275488.12466888881</v>
      </c>
      <c r="H31" s="14" t="s">
        <v>3</v>
      </c>
      <c r="I31" s="1"/>
    </row>
    <row r="32" spans="1:9" x14ac:dyDescent="0.25">
      <c r="A32" s="1"/>
      <c r="B32" s="116" t="s">
        <v>129</v>
      </c>
      <c r="C32" s="108"/>
      <c r="D32" s="108"/>
      <c r="E32" s="108"/>
      <c r="F32" s="109"/>
      <c r="G32" s="24">
        <f>G25*(1-'Fane 14. Nøgletal'!C22)*(1+'Fane 14. Nøgletal'!C12)</f>
        <v>363769.01356441266</v>
      </c>
      <c r="H32" s="14" t="s">
        <v>3</v>
      </c>
      <c r="I32" s="1"/>
    </row>
    <row r="33" spans="1:9" x14ac:dyDescent="0.25">
      <c r="A33" s="1"/>
      <c r="B33" s="110" t="s">
        <v>164</v>
      </c>
      <c r="C33" s="111"/>
      <c r="D33" s="111"/>
      <c r="E33" s="111"/>
      <c r="F33" s="112"/>
      <c r="G33" s="24">
        <v>711849.36219011992</v>
      </c>
      <c r="H33" s="14" t="s">
        <v>3</v>
      </c>
      <c r="I33" s="1"/>
    </row>
    <row r="34" spans="1:9" x14ac:dyDescent="0.25">
      <c r="A34" s="1"/>
      <c r="B34" s="110" t="s">
        <v>70</v>
      </c>
      <c r="C34" s="111"/>
      <c r="D34" s="111"/>
      <c r="E34" s="111"/>
      <c r="F34" s="112"/>
      <c r="G34" s="24">
        <f>(G30-SUM(G31:G32))*'Fane 14. Nøgletal'!C20+G31*'Fane 14. Nøgletal'!C21+G32*'Fane 14. Nøgletal'!C22+G33*'Fane 14. Nøgletal'!C23</f>
        <v>602033.9409569772</v>
      </c>
      <c r="H34" s="14" t="s">
        <v>3</v>
      </c>
      <c r="I34" s="1"/>
    </row>
    <row r="35" spans="1:9" x14ac:dyDescent="0.25">
      <c r="A35" s="1"/>
      <c r="B35" s="35"/>
      <c r="C35" s="36"/>
      <c r="D35" s="36"/>
      <c r="E35" s="36"/>
      <c r="F35" s="36"/>
      <c r="G35" s="36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13" t="s">
        <v>192</v>
      </c>
      <c r="C37" s="114"/>
      <c r="D37" s="114"/>
      <c r="E37" s="114"/>
      <c r="F37" s="114"/>
      <c r="G37" s="114"/>
      <c r="H37" s="115"/>
      <c r="I37" s="1"/>
    </row>
    <row r="38" spans="1:9" x14ac:dyDescent="0.25">
      <c r="A38" s="1"/>
      <c r="B38" s="110" t="s">
        <v>252</v>
      </c>
      <c r="C38" s="111"/>
      <c r="D38" s="111"/>
      <c r="E38" s="111"/>
      <c r="F38" s="112"/>
      <c r="G38" s="24">
        <f>(SUM(G30,G33)-G34)*(1+'Fane 14. Nøgletal'!C14)</f>
        <v>33045917.76481263</v>
      </c>
      <c r="H38" s="14" t="s">
        <v>3</v>
      </c>
      <c r="I38" s="1"/>
    </row>
    <row r="39" spans="1:9" x14ac:dyDescent="0.25">
      <c r="A39" s="1"/>
      <c r="B39" s="110" t="s">
        <v>193</v>
      </c>
      <c r="C39" s="111"/>
      <c r="D39" s="111"/>
      <c r="E39" s="111"/>
      <c r="F39" s="112"/>
      <c r="G39" s="24">
        <f>SUM('Fane 2.1. Økonomisk ramme 2022'!C11,'Fane 2.1. Økonomisk ramme 2022'!C13,'Fane 2.1. Økonomisk ramme 2022'!C15)*(1+'Fane 14. Nøgletal'!C14)</f>
        <v>59564.941152137508</v>
      </c>
      <c r="H39" s="14" t="s">
        <v>3</v>
      </c>
      <c r="I39" s="1"/>
    </row>
    <row r="40" spans="1:9" x14ac:dyDescent="0.25">
      <c r="A40" s="1"/>
      <c r="B40" s="110" t="s">
        <v>194</v>
      </c>
      <c r="C40" s="111"/>
      <c r="D40" s="111"/>
      <c r="E40" s="111"/>
      <c r="F40" s="112"/>
      <c r="G40" s="24">
        <f>(G38+G39)*'Fane 14. Nøgletal'!C24</f>
        <v>489961.14404827857</v>
      </c>
      <c r="H40" s="14" t="s">
        <v>3</v>
      </c>
      <c r="I40" s="1"/>
    </row>
    <row r="41" spans="1:9" x14ac:dyDescent="0.25">
      <c r="A41" s="1"/>
      <c r="B41" s="35"/>
      <c r="C41" s="36"/>
      <c r="D41" s="36"/>
      <c r="E41" s="36"/>
      <c r="F41" s="36"/>
      <c r="G41" s="36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13" t="s">
        <v>253</v>
      </c>
      <c r="C43" s="114"/>
      <c r="D43" s="114"/>
      <c r="E43" s="114"/>
      <c r="F43" s="114"/>
      <c r="G43" s="114"/>
      <c r="H43" s="115"/>
      <c r="I43" s="1"/>
    </row>
    <row r="44" spans="1:9" x14ac:dyDescent="0.25">
      <c r="A44" s="1"/>
      <c r="B44" s="110" t="s">
        <v>71</v>
      </c>
      <c r="C44" s="111"/>
      <c r="D44" s="111"/>
      <c r="E44" s="111"/>
      <c r="F44" s="112"/>
      <c r="G44" s="24">
        <f>(G38+G39-G40)*(1+'Fane 14. Nøgletal'!C14)</f>
        <v>32723152.783070818</v>
      </c>
      <c r="H44" s="14" t="s">
        <v>3</v>
      </c>
      <c r="I44" s="1"/>
    </row>
    <row r="45" spans="1:9" x14ac:dyDescent="0.25">
      <c r="A45" s="1"/>
      <c r="B45" s="116" t="s">
        <v>260</v>
      </c>
      <c r="C45" s="108"/>
      <c r="D45" s="108"/>
      <c r="E45" s="108"/>
      <c r="F45" s="109"/>
      <c r="G45" s="24">
        <f>G39*(1+'Fane 14. Nøgletal'!C14)</f>
        <v>59761.505457939566</v>
      </c>
      <c r="H45" s="14" t="s">
        <v>3</v>
      </c>
      <c r="I45" s="1"/>
    </row>
    <row r="46" spans="1:9" x14ac:dyDescent="0.25">
      <c r="A46" s="1"/>
      <c r="B46" s="110" t="s">
        <v>85</v>
      </c>
      <c r="C46" s="111"/>
      <c r="D46" s="111"/>
      <c r="E46" s="111"/>
      <c r="F46" s="112"/>
      <c r="G46" s="7">
        <f>-'Fane 13. Bortfald'!E18*(1+'Fane 14. Nøgletal'!C14)</f>
        <v>0</v>
      </c>
      <c r="H46" s="14" t="s">
        <v>3</v>
      </c>
      <c r="I46" s="1"/>
    </row>
    <row r="47" spans="1:9" x14ac:dyDescent="0.25">
      <c r="A47" s="1"/>
      <c r="B47" s="110" t="s">
        <v>259</v>
      </c>
      <c r="C47" s="111"/>
      <c r="D47" s="111"/>
      <c r="E47" s="111"/>
      <c r="F47" s="112"/>
      <c r="G47" s="24">
        <f>(G44+G46)*'Fane 14. Nøgletal'!C24</f>
        <v>484302.66118944815</v>
      </c>
      <c r="H47" s="14" t="s">
        <v>3</v>
      </c>
      <c r="I47" s="1"/>
    </row>
    <row r="48" spans="1:9" x14ac:dyDescent="0.25">
      <c r="A48" s="1"/>
      <c r="B48" s="35"/>
      <c r="C48" s="36"/>
      <c r="D48" s="36"/>
      <c r="E48" s="36"/>
      <c r="F48" s="36"/>
      <c r="G48" s="3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3" t="s">
        <v>165</v>
      </c>
      <c r="C51" s="114"/>
      <c r="D51" s="114"/>
      <c r="E51" s="114"/>
      <c r="F51" s="114"/>
      <c r="G51" s="114"/>
      <c r="H51" s="115"/>
      <c r="I51" s="1"/>
    </row>
    <row r="52" spans="1:9" x14ac:dyDescent="0.25">
      <c r="A52" s="1"/>
      <c r="B52" s="110" t="s">
        <v>166</v>
      </c>
      <c r="C52" s="111"/>
      <c r="D52" s="111"/>
      <c r="E52" s="111"/>
      <c r="F52" s="112"/>
      <c r="G52" s="24">
        <f>(G44+G46-G47)*(1+'Fane 14. Nøgletal'!C14)</f>
        <v>32345238.32728358</v>
      </c>
      <c r="H52" s="14" t="s">
        <v>3</v>
      </c>
      <c r="I52" s="1"/>
    </row>
    <row r="53" spans="1:9" x14ac:dyDescent="0.25">
      <c r="A53" s="1"/>
      <c r="B53" s="110" t="s">
        <v>167</v>
      </c>
      <c r="C53" s="111"/>
      <c r="D53" s="111"/>
      <c r="E53" s="111"/>
      <c r="F53" s="112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10" t="s">
        <v>168</v>
      </c>
      <c r="C54" s="111"/>
      <c r="D54" s="111"/>
      <c r="E54" s="111"/>
      <c r="F54" s="112"/>
      <c r="G54" s="24">
        <f>(G52+G53)*'Fane 14. Nøgletal'!C24</f>
        <v>478709.52724379703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3" t="s">
        <v>225</v>
      </c>
      <c r="C57" s="114"/>
      <c r="D57" s="114"/>
      <c r="E57" s="114"/>
      <c r="F57" s="114"/>
      <c r="G57" s="114"/>
      <c r="H57" s="115"/>
      <c r="I57" s="1"/>
    </row>
    <row r="58" spans="1:9" x14ac:dyDescent="0.25">
      <c r="A58" s="1"/>
      <c r="B58" s="110" t="s">
        <v>166</v>
      </c>
      <c r="C58" s="111"/>
      <c r="D58" s="111"/>
      <c r="E58" s="111"/>
      <c r="F58" s="112"/>
      <c r="G58" s="24">
        <f>(G52+G53-G54)*(1+'Fane 14. Nøgletal'!C14)</f>
        <v>31971688.345079917</v>
      </c>
      <c r="H58" s="14" t="s">
        <v>3</v>
      </c>
      <c r="I58" s="1"/>
    </row>
    <row r="59" spans="1:9" x14ac:dyDescent="0.25">
      <c r="A59" s="1"/>
      <c r="B59" s="110" t="s">
        <v>254</v>
      </c>
      <c r="C59" s="111"/>
      <c r="D59" s="111"/>
      <c r="E59" s="111"/>
      <c r="F59" s="112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10" t="s">
        <v>255</v>
      </c>
      <c r="C60" s="111"/>
      <c r="D60" s="111"/>
      <c r="E60" s="111"/>
      <c r="F60" s="112"/>
      <c r="G60" s="24">
        <f>(G58+G59)*'Fane 14. Nøgletal'!C24</f>
        <v>473180.98750718281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am9C+l5mhsOrOF0Ci5cdkuv7bwntyj0A0HvfB9GvLQud0qldX5S+pysX7Bnjal3MSnge5Ak3h/2g50o0nbFODg==" saltValue="UZAQjT7LUc7NoEATiMtEJg==" spinCount="100000" sheet="1" objects="1" scenarios="1"/>
  <mergeCells count="41">
    <mergeCell ref="B57:H57"/>
    <mergeCell ref="B44:F44"/>
    <mergeCell ref="B58:F58"/>
    <mergeCell ref="B59:F59"/>
    <mergeCell ref="B60:F60"/>
    <mergeCell ref="B45:F45"/>
    <mergeCell ref="B46:F46"/>
    <mergeCell ref="B53:F53"/>
    <mergeCell ref="B52:F52"/>
    <mergeCell ref="B54:F54"/>
    <mergeCell ref="B51:H51"/>
    <mergeCell ref="B47:F47"/>
    <mergeCell ref="B22:H22"/>
    <mergeCell ref="B16:H16"/>
    <mergeCell ref="B18:F18"/>
    <mergeCell ref="B23:F23"/>
    <mergeCell ref="B39:F39"/>
    <mergeCell ref="B31:F31"/>
    <mergeCell ref="B32:F32"/>
    <mergeCell ref="B38:F38"/>
    <mergeCell ref="B25:F25"/>
    <mergeCell ref="B26:F26"/>
    <mergeCell ref="B40:F40"/>
    <mergeCell ref="B43:H43"/>
    <mergeCell ref="B24:F24"/>
    <mergeCell ref="B29:H29"/>
    <mergeCell ref="B30:F30"/>
    <mergeCell ref="B34:F34"/>
    <mergeCell ref="B37:H37"/>
    <mergeCell ref="B33:F33"/>
    <mergeCell ref="B2:H3"/>
    <mergeCell ref="B19:F19"/>
    <mergeCell ref="B4:H4"/>
    <mergeCell ref="B5:F5"/>
    <mergeCell ref="B6:F6"/>
    <mergeCell ref="B9:H9"/>
    <mergeCell ref="B11:F11"/>
    <mergeCell ref="B10:F10"/>
    <mergeCell ref="B12:F12"/>
    <mergeCell ref="B13:F13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10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0" t="s">
        <v>261</v>
      </c>
      <c r="C9" s="111"/>
      <c r="D9" s="111"/>
      <c r="E9" s="111"/>
      <c r="F9" s="112"/>
      <c r="G9" s="23">
        <v>3.3586395424080491E-3</v>
      </c>
      <c r="H9" s="14"/>
      <c r="I9" s="1"/>
    </row>
    <row r="10" spans="1:9" x14ac:dyDescent="0.25">
      <c r="A10" s="1"/>
      <c r="B10" s="110" t="s">
        <v>105</v>
      </c>
      <c r="C10" s="111"/>
      <c r="D10" s="111"/>
      <c r="E10" s="111"/>
      <c r="F10" s="112"/>
      <c r="G10" s="23">
        <v>0</v>
      </c>
      <c r="H10" s="14"/>
      <c r="I10" s="1"/>
    </row>
    <row r="11" spans="1:9" x14ac:dyDescent="0.25">
      <c r="A11" s="1"/>
      <c r="B11" s="110" t="s">
        <v>195</v>
      </c>
      <c r="C11" s="111"/>
      <c r="D11" s="111"/>
      <c r="E11" s="111"/>
      <c r="F11" s="112"/>
      <c r="G11" s="23">
        <v>9.4381251442904063E-3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+DeSG0aVDXwLvCdvIR5iUon4G01i5VhfpLmG3chyBrbxmh/xhvxYGUttS5AA3LrebWWLpqnRvv9Rzq3xcWvkw==" saltValue="sLaJtMCIQMd7zWH/tXGUSQ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2023-09-14T08:30:14Z</dcterms:modified>
</cp:coreProperties>
</file>