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TÅRNBYFORSYNING Spildevand (S097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G54" i="36" l="1"/>
  <c r="G46" i="30"/>
  <c r="E16" i="40" l="1"/>
  <c r="E12" i="40"/>
  <c r="E26" i="32" l="1"/>
  <c r="E32" i="32" s="1"/>
  <c r="E34" i="32" s="1"/>
  <c r="C26" i="15" l="1"/>
  <c r="C30" i="2"/>
  <c r="C12" i="19"/>
  <c r="E28" i="20" l="1"/>
  <c r="E22" i="20"/>
  <c r="E16" i="20"/>
  <c r="E10" i="20"/>
  <c r="E10" i="11" l="1"/>
  <c r="G8" i="30" l="1"/>
  <c r="G12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G43" i="36" s="1"/>
  <c r="C17" i="21"/>
  <c r="C18" i="21" s="1"/>
  <c r="E30" i="21" l="1"/>
  <c r="G60" i="36" s="1"/>
  <c r="C30" i="21"/>
  <c r="G60" i="30" s="1"/>
  <c r="E24" i="21"/>
  <c r="C24" i="21"/>
  <c r="G54" i="30" s="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38" i="39" l="1"/>
  <c r="E22" i="39"/>
  <c r="E30" i="39"/>
  <c r="C23" i="22" s="1"/>
  <c r="C14" i="39"/>
  <c r="C26" i="2" s="1"/>
  <c r="E14" i="39"/>
  <c r="C27" i="2" s="1"/>
  <c r="C22" i="39"/>
  <c r="C22" i="15" s="1"/>
  <c r="C22" i="22"/>
  <c r="C22" i="23"/>
  <c r="C23" i="23"/>
  <c r="C23" i="15"/>
  <c r="C24" i="23" l="1"/>
  <c r="C24" i="22"/>
  <c r="C24" i="15"/>
  <c r="C28" i="2"/>
  <c r="G6" i="36" l="1"/>
  <c r="G10" i="36" l="1"/>
  <c r="G13" i="36" l="1"/>
  <c r="G17" i="36" l="1"/>
  <c r="G19" i="36" s="1"/>
  <c r="G16" i="30"/>
  <c r="G20" i="30" s="1"/>
  <c r="G23" i="36" l="1"/>
  <c r="G25" i="36" s="1"/>
  <c r="G22" i="30"/>
  <c r="G29" i="36" l="1"/>
  <c r="G26" i="30"/>
  <c r="G31" i="36" l="1"/>
  <c r="F11" i="11"/>
  <c r="C10" i="37" s="1"/>
  <c r="C12" i="37" s="1"/>
  <c r="C13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3" i="19"/>
  <c r="C18" i="23" l="1"/>
  <c r="C18" i="22"/>
  <c r="C18" i="15"/>
  <c r="C15" i="2"/>
  <c r="C14" i="2"/>
  <c r="C22" i="2"/>
  <c r="C12" i="2"/>
  <c r="G39" i="30" s="1"/>
  <c r="G45" i="30" s="1"/>
  <c r="C13" i="2"/>
  <c r="G28" i="30" l="1"/>
  <c r="G32" i="30" l="1"/>
  <c r="E11" i="11"/>
  <c r="E10" i="37" s="1"/>
  <c r="E12" i="37" s="1"/>
  <c r="E13" i="37" s="1"/>
  <c r="C11" i="2" l="1"/>
  <c r="G36" i="36" s="1"/>
  <c r="G34" i="30"/>
  <c r="E18" i="27" s="1"/>
  <c r="G42" i="36" l="1"/>
  <c r="G37" i="36"/>
  <c r="G41" i="36" s="1"/>
  <c r="G38" i="30"/>
  <c r="E20" i="27"/>
  <c r="E33" i="27" s="1"/>
  <c r="C9" i="2" l="1"/>
  <c r="C16" i="2" s="1"/>
  <c r="G40" i="30"/>
  <c r="G44" i="30" s="1"/>
  <c r="G47" i="30" s="1"/>
  <c r="G53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5" i="30"/>
  <c r="C12" i="22" l="1"/>
  <c r="C13" i="22" s="1"/>
  <c r="C14" i="22"/>
  <c r="G59" i="30"/>
  <c r="G61" i="30" s="1"/>
  <c r="C14" i="23" s="1"/>
  <c r="C16" i="22" l="1"/>
  <c r="C9" i="23" l="1"/>
  <c r="C12" i="23" s="1"/>
  <c r="C13" i="23" s="1"/>
  <c r="C16" i="23" s="1"/>
  <c r="C27" i="23" s="1"/>
  <c r="C27" i="22"/>
</calcChain>
</file>

<file path=xl/sharedStrings.xml><?xml version="1.0" encoding="utf-8"?>
<sst xmlns="http://schemas.openxmlformats.org/spreadsheetml/2006/main" count="702" uniqueCount="284">
  <si>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</si>
  <si>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</si>
  <si>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</si>
  <si>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</si>
  <si>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</si>
  <si>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</si>
  <si>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</si>
  <si>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</si>
  <si>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</si>
  <si>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</si>
  <si>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</si>
  <si>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</si>
  <si>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</si>
  <si>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</si>
  <si>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</si>
  <si>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</si>
  <si>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</si>
  <si>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</si>
  <si>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</si>
  <si>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</si>
  <si>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</si>
  <si>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</si>
  <si>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</si>
  <si>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</si>
  <si>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</si>
  <si>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</si>
  <si>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</si>
  <si>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</si>
  <si>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</si>
  <si>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</si>
  <si>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</si>
  <si>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</si>
  <si>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</si>
  <si>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</si>
  <si>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</si>
  <si>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</si>
  <si>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</si>
  <si>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</si>
  <si>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</si>
  <si>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</si>
  <si>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</si>
  <si>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</si>
  <si>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</si>
  <si>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</si>
  <si>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</si>
  <si>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</si>
  <si>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</si>
  <si>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</si>
  <si>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</si>
  <si>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</si>
  <si>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</si>
  <si>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</si>
  <si>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</si>
  <si>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</si>
  <si>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</si>
  <si>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</si>
  <si>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</si>
  <si>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</si>
  <si>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</si>
  <si>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</si>
  <si>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</si>
  <si>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</si>
  <si>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</si>
  <si>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</si>
  <si>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</si>
  <si>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</si>
  <si>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</si>
  <si>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</si>
  <si>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</si>
  <si>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</si>
  <si>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</si>
  <si>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</si>
  <si>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</si>
  <si>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</si>
  <si>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</si>
  <si>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</si>
  <si>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</si>
  <si>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</si>
  <si>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</si>
  <si>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</si>
  <si>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</si>
  <si>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</si>
  <si>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</si>
  <si>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</si>
  <si>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</si>
  <si>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</si>
  <si>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</si>
  <si>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</si>
  <si>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</si>
  <si>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</si>
  <si>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</si>
  <si>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</si>
  <si>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</si>
  <si>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</si>
  <si>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</si>
  <si>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</si>
  <si>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</si>
  <si>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</si>
  <si>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</si>
  <si>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</si>
  <si>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</si>
  <si>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</si>
  <si>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</si>
  <si>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</si>
  <si>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</si>
  <si>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</si>
  <si>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</si>
  <si>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</si>
  <si>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</si>
  <si>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</si>
  <si>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</si>
  <si>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</si>
  <si>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</si>
  <si>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</si>
  <si>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</si>
  <si>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</si>
  <si>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</si>
  <si>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</si>
  <si>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</si>
  <si>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</si>
  <si>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</si>
  <si>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</si>
  <si>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</si>
  <si>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</si>
  <si>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</si>
  <si>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</si>
  <si>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</si>
  <si>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</si>
  <si>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</si>
  <si>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</si>
  <si>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</si>
  <si>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</si>
  <si>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</si>
  <si>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</si>
  <si>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</si>
  <si>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</si>
  <si>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</si>
  <si>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</si>
  <si>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</si>
  <si>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</si>
  <si>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</si>
  <si>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</si>
  <si>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</si>
  <si>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</si>
  <si>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</si>
  <si>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</si>
  <si>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</si>
  <si>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</si>
  <si>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</si>
  <si>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</si>
  <si>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</si>
  <si>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</si>
  <si>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</si>
  <si>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</si>
  <si>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</si>
  <si>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</si>
  <si>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</si>
  <si>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</si>
  <si>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</si>
  <si>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</si>
  <si>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</si>
  <si>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</si>
  <si>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</si>
  <si>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</si>
  <si>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</si>
  <si>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</si>
  <si>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</si>
  <si>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</si>
  <si>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</si>
  <si>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</si>
  <si>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</si>
  <si>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</si>
  <si>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</si>
  <si>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</si>
  <si>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</si>
  <si>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</si>
  <si>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</si>
  <si>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</si>
  <si>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</si>
  <si>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</si>
  <si>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</si>
  <si>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</si>
  <si>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</si>
  <si>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</si>
  <si>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</si>
  <si>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</si>
  <si>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</si>
  <si>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</si>
  <si>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</si>
  <si>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</si>
  <si>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</si>
  <si>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</si>
  <si>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</si>
  <si>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</si>
  <si>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</si>
  <si>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</si>
  <si>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</si>
  <si>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</si>
  <si>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</si>
  <si>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</si>
  <si>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</si>
  <si>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</si>
  <si>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</si>
  <si>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</si>
  <si>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</si>
  <si>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</si>
  <si>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</si>
  <si>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</si>
  <si>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</si>
  <si>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</si>
  <si>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</si>
  <si>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</si>
  <si>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</si>
  <si>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</si>
  <si>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</si>
  <si>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</si>
  <si>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</si>
  <si>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</si>
  <si>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</si>
  <si>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</si>
  <si>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</si>
  <si>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</si>
  <si>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</si>
  <si>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</si>
  <si>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</si>
  <si>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</si>
  <si>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</si>
  <si>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</si>
  <si>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</si>
  <si>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</si>
  <si>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</si>
  <si>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</si>
  <si>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</si>
  <si>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</si>
  <si>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</si>
  <si>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</si>
  <si>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</si>
  <si>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</si>
  <si>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</si>
  <si>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</si>
  <si>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</si>
  <si>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</si>
  <si>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</si>
  <si>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</si>
  <si>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</si>
  <si>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</si>
  <si>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</si>
  <si>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</si>
  <si>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</si>
  <si>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</si>
  <si>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</si>
  <si>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</si>
  <si>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</si>
  <si>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</si>
  <si>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</si>
  <si>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</si>
  <si>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</si>
  <si>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</si>
  <si>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</si>
  <si>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</si>
  <si>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</si>
  <si>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</si>
  <si>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Spildevandsafgift</t>
  </si>
  <si>
    <t>Afgift til Forsyningssekretariatet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</si>
  <si>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</si>
  <si>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</si>
  <si>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</si>
  <si>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</si>
  <si>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</si>
  <si>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</si>
  <si>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</si>
  <si>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</si>
  <si>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</si>
  <si>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</si>
  <si>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</si>
  <si>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</si>
  <si>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</si>
  <si>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Kloakering af HF Sommervirke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</si>
  <si>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</si>
  <si>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</si>
  <si>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</si>
  <si>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anlægsprojekter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</si>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</sst>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1" fontId="8" fillId="8" borderId="1" xfId="1" applyNumberFormat="1" applyFont="1" applyFill="1" applyBorder="1" applyProtection="1"/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1" t="s">
        <v>4</v>
      </c>
      <c r="E6" s="81"/>
      <c r="F6" s="81"/>
      <c r="G6" s="81"/>
      <c r="H6" s="3"/>
      <c r="I6" s="1"/>
    </row>
    <row r="7" spans="1:9" ht="15" customHeight="1" x14ac:dyDescent="0.25">
      <c r="A7" s="1"/>
      <c r="B7" s="1"/>
      <c r="C7" s="3"/>
      <c r="D7" s="81"/>
      <c r="E7" s="81"/>
      <c r="F7" s="81"/>
      <c r="G7" s="81"/>
      <c r="H7" s="3"/>
      <c r="I7" s="1"/>
    </row>
    <row r="8" spans="1:9" ht="15.75" x14ac:dyDescent="0.25">
      <c r="A8" s="1"/>
      <c r="B8" s="1"/>
      <c r="C8" s="4"/>
      <c r="D8" s="86" t="s">
        <v>282</v>
      </c>
      <c r="E8" s="86"/>
      <c r="F8" s="86"/>
      <c r="G8" s="8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5" t="s">
        <v>5</v>
      </c>
      <c r="E11" s="85"/>
      <c r="F11" s="85"/>
      <c r="G11" s="8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8" t="s">
        <v>245</v>
      </c>
      <c r="E13" s="79"/>
      <c r="F13" s="79"/>
      <c r="G13" s="80"/>
      <c r="H13" s="1"/>
      <c r="I13" s="1"/>
    </row>
    <row r="14" spans="1:9" x14ac:dyDescent="0.25">
      <c r="A14" s="1"/>
      <c r="B14" s="1"/>
      <c r="C14" s="6" t="s">
        <v>17</v>
      </c>
      <c r="D14" s="78" t="s">
        <v>246</v>
      </c>
      <c r="E14" s="79"/>
      <c r="F14" s="79"/>
      <c r="G14" s="80"/>
      <c r="H14" s="1"/>
      <c r="I14" s="1"/>
    </row>
    <row r="15" spans="1:9" x14ac:dyDescent="0.25">
      <c r="A15" s="1"/>
      <c r="B15" s="1"/>
      <c r="C15" s="6" t="s">
        <v>37</v>
      </c>
      <c r="D15" s="78" t="s">
        <v>160</v>
      </c>
      <c r="E15" s="79"/>
      <c r="F15" s="79"/>
      <c r="G15" s="80"/>
      <c r="H15" s="1"/>
      <c r="I15" s="1"/>
    </row>
    <row r="16" spans="1:9" x14ac:dyDescent="0.25">
      <c r="A16" s="1"/>
      <c r="B16" s="1"/>
      <c r="C16" s="6" t="s">
        <v>38</v>
      </c>
      <c r="D16" s="78" t="s">
        <v>247</v>
      </c>
      <c r="E16" s="79"/>
      <c r="F16" s="79"/>
      <c r="G16" s="80"/>
      <c r="H16" s="1"/>
      <c r="I16" s="1"/>
    </row>
    <row r="17" spans="1:9" x14ac:dyDescent="0.25">
      <c r="A17" s="1"/>
      <c r="B17" s="1"/>
      <c r="C17" s="6" t="s">
        <v>144</v>
      </c>
      <c r="D17" s="78" t="s">
        <v>248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124</v>
      </c>
      <c r="D18" s="75" t="s">
        <v>110</v>
      </c>
      <c r="E18" s="76"/>
      <c r="F18" s="76"/>
      <c r="G18" s="77"/>
      <c r="H18" s="1"/>
      <c r="I18" s="1"/>
    </row>
    <row r="19" spans="1:9" x14ac:dyDescent="0.25">
      <c r="A19" s="1"/>
      <c r="B19" s="1"/>
      <c r="C19" s="6" t="s">
        <v>125</v>
      </c>
      <c r="D19" s="75" t="s">
        <v>111</v>
      </c>
      <c r="E19" s="76"/>
      <c r="F19" s="76"/>
      <c r="G19" s="77"/>
      <c r="H19" s="1"/>
      <c r="I19" s="1"/>
    </row>
    <row r="20" spans="1:9" x14ac:dyDescent="0.25">
      <c r="A20" s="1"/>
      <c r="B20" s="1"/>
      <c r="C20" s="6" t="s">
        <v>7</v>
      </c>
      <c r="D20" s="75" t="s">
        <v>10</v>
      </c>
      <c r="E20" s="76"/>
      <c r="F20" s="76"/>
      <c r="G20" s="77"/>
      <c r="H20" s="1"/>
      <c r="I20" s="1"/>
    </row>
    <row r="21" spans="1:9" x14ac:dyDescent="0.25">
      <c r="A21" s="1"/>
      <c r="B21" s="1"/>
      <c r="C21" s="6" t="s">
        <v>126</v>
      </c>
      <c r="D21" s="82" t="s">
        <v>13</v>
      </c>
      <c r="E21" s="83"/>
      <c r="F21" s="83"/>
      <c r="G21" s="84"/>
      <c r="H21" s="1"/>
      <c r="I21" s="1"/>
    </row>
    <row r="22" spans="1:9" x14ac:dyDescent="0.25">
      <c r="A22" s="1"/>
      <c r="B22" s="1"/>
      <c r="C22" s="6" t="s">
        <v>91</v>
      </c>
      <c r="D22" s="69" t="s">
        <v>249</v>
      </c>
      <c r="E22" s="70"/>
      <c r="F22" s="70"/>
      <c r="G22" s="71"/>
      <c r="H22" s="1"/>
      <c r="I22" s="1"/>
    </row>
    <row r="23" spans="1:9" x14ac:dyDescent="0.25">
      <c r="A23" s="1"/>
      <c r="B23" s="1"/>
      <c r="C23" s="6" t="s">
        <v>8</v>
      </c>
      <c r="D23" s="69" t="s">
        <v>195</v>
      </c>
      <c r="E23" s="70"/>
      <c r="F23" s="70"/>
      <c r="G23" s="71"/>
      <c r="H23" s="1"/>
      <c r="I23" s="1"/>
    </row>
    <row r="24" spans="1:9" x14ac:dyDescent="0.25">
      <c r="A24" s="1"/>
      <c r="B24" s="1"/>
      <c r="C24" s="6" t="s">
        <v>9</v>
      </c>
      <c r="D24" s="69" t="s">
        <v>39</v>
      </c>
      <c r="E24" s="70"/>
      <c r="F24" s="70"/>
      <c r="G24" s="71"/>
      <c r="H24" s="1"/>
      <c r="I24" s="1"/>
    </row>
    <row r="25" spans="1:9" x14ac:dyDescent="0.25">
      <c r="A25" s="1"/>
      <c r="B25" s="1"/>
      <c r="C25" s="6" t="s">
        <v>127</v>
      </c>
      <c r="D25" s="69" t="s">
        <v>92</v>
      </c>
      <c r="E25" s="70"/>
      <c r="F25" s="70"/>
      <c r="G25" s="71"/>
      <c r="H25" s="1"/>
      <c r="I25" s="1"/>
    </row>
    <row r="26" spans="1:9" x14ac:dyDescent="0.25">
      <c r="A26" s="1"/>
      <c r="B26" s="1"/>
      <c r="C26" s="6" t="s">
        <v>128</v>
      </c>
      <c r="D26" s="69" t="s">
        <v>93</v>
      </c>
      <c r="E26" s="70"/>
      <c r="F26" s="70"/>
      <c r="G26" s="71"/>
      <c r="H26" s="1"/>
      <c r="I26" s="1"/>
    </row>
    <row r="27" spans="1:9" x14ac:dyDescent="0.25">
      <c r="A27" s="1"/>
      <c r="B27" s="1"/>
      <c r="C27" s="6" t="s">
        <v>129</v>
      </c>
      <c r="D27" s="69" t="s">
        <v>94</v>
      </c>
      <c r="E27" s="70"/>
      <c r="F27" s="70"/>
      <c r="G27" s="71"/>
      <c r="H27" s="1"/>
      <c r="I27" s="1"/>
    </row>
    <row r="28" spans="1:9" x14ac:dyDescent="0.25">
      <c r="A28" s="1"/>
      <c r="B28" s="1"/>
      <c r="C28" s="6" t="s">
        <v>16</v>
      </c>
      <c r="D28" s="69" t="s">
        <v>161</v>
      </c>
      <c r="E28" s="70"/>
      <c r="F28" s="70"/>
      <c r="G28" s="71"/>
      <c r="H28" s="1"/>
      <c r="I28" s="1"/>
    </row>
    <row r="29" spans="1:9" x14ac:dyDescent="0.25">
      <c r="A29" s="1"/>
      <c r="B29" s="1"/>
      <c r="C29" s="6" t="s">
        <v>41</v>
      </c>
      <c r="D29" s="69" t="s">
        <v>40</v>
      </c>
      <c r="E29" s="70"/>
      <c r="F29" s="70"/>
      <c r="G29" s="71"/>
      <c r="H29" s="1"/>
      <c r="I29" s="1"/>
    </row>
    <row r="30" spans="1:9" x14ac:dyDescent="0.25">
      <c r="A30" s="1"/>
      <c r="B30" s="1"/>
      <c r="C30" s="6" t="s">
        <v>42</v>
      </c>
      <c r="D30" s="72" t="s">
        <v>123</v>
      </c>
      <c r="E30" s="73"/>
      <c r="F30" s="73"/>
      <c r="G30" s="74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6NhdzlCSrnLbqoOOanUths+ECQueb4Tkyx9oFtg1V8QGQZ+rThWRmBeT7tC+cT9YU3YCLtCBljEt1WdL07+kUw==" saltValue="xWCkZ+f9iGPQHFuAMUfnfw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7" t="s">
        <v>132</v>
      </c>
      <c r="C3" s="87"/>
      <c r="D3" s="87"/>
      <c r="E3" s="1"/>
      <c r="F3" s="1"/>
    </row>
    <row r="4" spans="1:6" ht="15" customHeight="1" x14ac:dyDescent="0.25">
      <c r="A4" s="1"/>
      <c r="B4" s="87"/>
      <c r="C4" s="87"/>
      <c r="D4" s="87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9" t="s">
        <v>208</v>
      </c>
      <c r="C8" s="100"/>
      <c r="D8" s="101"/>
      <c r="E8" s="1"/>
      <c r="F8" s="1"/>
    </row>
    <row r="9" spans="1:6" ht="15" customHeight="1" x14ac:dyDescent="0.25">
      <c r="A9" s="1"/>
      <c r="B9" s="31" t="s">
        <v>35</v>
      </c>
      <c r="C9" s="11" t="s">
        <v>244</v>
      </c>
      <c r="D9" s="11"/>
      <c r="E9" s="1"/>
      <c r="F9" s="1"/>
    </row>
    <row r="10" spans="1:6" x14ac:dyDescent="0.25">
      <c r="A10" s="1"/>
      <c r="B10" s="62" t="s">
        <v>262</v>
      </c>
      <c r="C10" s="9">
        <v>952102</v>
      </c>
      <c r="D10" s="14" t="s">
        <v>3</v>
      </c>
      <c r="E10" s="1"/>
      <c r="F10" s="1"/>
    </row>
    <row r="11" spans="1:6" x14ac:dyDescent="0.25">
      <c r="A11" s="1"/>
      <c r="B11" s="62" t="s">
        <v>263</v>
      </c>
      <c r="C11" s="9">
        <v>82858</v>
      </c>
      <c r="D11" s="14" t="s">
        <v>3</v>
      </c>
      <c r="E11" s="1"/>
      <c r="F11" s="1"/>
    </row>
    <row r="12" spans="1:6" x14ac:dyDescent="0.25">
      <c r="A12" s="1"/>
      <c r="B12" s="38" t="s">
        <v>209</v>
      </c>
      <c r="C12" s="12">
        <f>SUM(C10:C11)</f>
        <v>1034960</v>
      </c>
      <c r="D12" s="13" t="s">
        <v>3</v>
      </c>
      <c r="E12" s="1"/>
      <c r="F12" s="1"/>
    </row>
    <row r="13" spans="1:6" x14ac:dyDescent="0.25">
      <c r="A13" s="1"/>
      <c r="B13" s="38" t="s">
        <v>210</v>
      </c>
      <c r="C13" s="12">
        <f>C12*(1+'Fane 14. Nøgletal'!C14)^2</f>
        <v>1041802.0067144001</v>
      </c>
      <c r="D13" s="13" t="s">
        <v>3</v>
      </c>
      <c r="E13" s="1"/>
      <c r="F13" s="1"/>
    </row>
    <row r="14" spans="1:6" x14ac:dyDescent="0.25">
      <c r="A14" s="1"/>
      <c r="B14" s="16"/>
      <c r="C14" s="15"/>
      <c r="D14" s="15"/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99" t="s">
        <v>142</v>
      </c>
      <c r="C16" s="100"/>
      <c r="D16" s="101"/>
      <c r="E16" s="1"/>
      <c r="F16" s="1"/>
    </row>
    <row r="17" spans="1:6" x14ac:dyDescent="0.25">
      <c r="A17" s="1"/>
      <c r="B17" s="62" t="s">
        <v>116</v>
      </c>
      <c r="C17" s="9">
        <v>1945869</v>
      </c>
      <c r="D17" s="14" t="s">
        <v>3</v>
      </c>
      <c r="E17" s="1"/>
      <c r="F17" s="1"/>
    </row>
    <row r="18" spans="1:6" x14ac:dyDescent="0.25">
      <c r="A18" s="1"/>
      <c r="B18" s="62" t="s">
        <v>117</v>
      </c>
      <c r="C18" s="9">
        <v>1945869</v>
      </c>
      <c r="D18" s="14" t="s">
        <v>3</v>
      </c>
      <c r="E18" s="1"/>
      <c r="F18" s="1"/>
    </row>
    <row r="19" spans="1:6" x14ac:dyDescent="0.25">
      <c r="A19" s="1"/>
      <c r="B19" s="62" t="s">
        <v>154</v>
      </c>
      <c r="C19" s="9">
        <v>873950</v>
      </c>
      <c r="D19" s="14" t="s">
        <v>3</v>
      </c>
      <c r="E19" s="1"/>
      <c r="F19" s="1"/>
    </row>
    <row r="20" spans="1:6" x14ac:dyDescent="0.25">
      <c r="A20" s="1"/>
      <c r="B20" s="62" t="s">
        <v>211</v>
      </c>
      <c r="C20" s="9">
        <v>80850</v>
      </c>
      <c r="D20" s="14" t="s">
        <v>3</v>
      </c>
      <c r="E20" s="1"/>
      <c r="F20" s="1"/>
    </row>
    <row r="21" spans="1:6" x14ac:dyDescent="0.25">
      <c r="A21" s="1"/>
      <c r="B21" s="99"/>
      <c r="C21" s="100"/>
      <c r="D21" s="10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99" t="s">
        <v>115</v>
      </c>
      <c r="C24" s="100"/>
      <c r="D24" s="101"/>
      <c r="E24" s="1"/>
      <c r="F24" s="1"/>
    </row>
    <row r="25" spans="1:6" x14ac:dyDescent="0.25">
      <c r="A25" s="1"/>
      <c r="B25" s="62" t="s">
        <v>116</v>
      </c>
      <c r="C25" s="9">
        <v>0</v>
      </c>
      <c r="D25" s="14" t="s">
        <v>3</v>
      </c>
      <c r="E25" s="1"/>
      <c r="F25" s="1"/>
    </row>
    <row r="26" spans="1:6" x14ac:dyDescent="0.25">
      <c r="A26" s="1"/>
      <c r="B26" s="62" t="s">
        <v>117</v>
      </c>
      <c r="C26" s="9">
        <v>0</v>
      </c>
      <c r="D26" s="14" t="s">
        <v>3</v>
      </c>
      <c r="E26" s="1"/>
      <c r="F26" s="1"/>
    </row>
    <row r="27" spans="1:6" x14ac:dyDescent="0.25">
      <c r="A27" s="1"/>
      <c r="B27" s="62" t="s">
        <v>154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62" t="s">
        <v>211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99"/>
      <c r="C29" s="100"/>
      <c r="D29" s="10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AhuMvh/O8onh8VxPDFuM+Pzg/PZLOt2+YJOCw5dEkG/TsPPgN5kcrwQau0hg4PAldEiE7k3Yt/osUIWXltjNow==" saltValue="DX/2895aQPYxeZc1agNMqg==" spinCount="100000" sheet="1" objects="1" scenarios="1"/>
  <mergeCells count="6">
    <mergeCell ref="B29:D29"/>
    <mergeCell ref="B3:D4"/>
    <mergeCell ref="B8:D8"/>
    <mergeCell ref="B16:D16"/>
    <mergeCell ref="B24:D24"/>
    <mergeCell ref="B21:D21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2.2851562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212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ht="15" customHeight="1" x14ac:dyDescent="0.25">
      <c r="A5" s="1"/>
      <c r="B5" s="50"/>
      <c r="C5" s="50"/>
      <c r="D5" s="50"/>
      <c r="E5" s="50"/>
      <c r="F5" s="50"/>
      <c r="G5" s="1"/>
    </row>
    <row r="6" spans="1:7" ht="15" customHeight="1" x14ac:dyDescent="0.25">
      <c r="A6" s="1"/>
      <c r="B6" s="50"/>
      <c r="C6" s="50"/>
      <c r="D6" s="50"/>
      <c r="E6" s="50"/>
      <c r="F6" s="50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265</v>
      </c>
      <c r="C8" s="100"/>
      <c r="D8" s="100"/>
      <c r="E8" s="100"/>
      <c r="F8" s="101"/>
      <c r="G8" s="1"/>
    </row>
    <row r="9" spans="1:7" x14ac:dyDescent="0.25">
      <c r="A9" s="1"/>
      <c r="B9" s="104" t="s">
        <v>266</v>
      </c>
      <c r="C9" s="105"/>
      <c r="D9" s="106"/>
      <c r="E9" s="9">
        <v>688762.85020080954</v>
      </c>
      <c r="F9" s="14" t="s">
        <v>3</v>
      </c>
      <c r="G9" s="1"/>
    </row>
    <row r="10" spans="1:7" x14ac:dyDescent="0.25">
      <c r="A10" s="1"/>
      <c r="B10" s="104" t="s">
        <v>267</v>
      </c>
      <c r="C10" s="105"/>
      <c r="D10" s="106"/>
      <c r="E10" s="9">
        <v>-1911579.2585797012</v>
      </c>
      <c r="F10" s="14" t="s">
        <v>3</v>
      </c>
      <c r="G10" s="1"/>
    </row>
    <row r="11" spans="1:7" x14ac:dyDescent="0.25">
      <c r="A11" s="1"/>
      <c r="B11" s="104" t="s">
        <v>268</v>
      </c>
      <c r="C11" s="105"/>
      <c r="D11" s="106"/>
      <c r="E11" s="9">
        <v>-1222816.4083788916</v>
      </c>
      <c r="F11" s="14" t="s">
        <v>3</v>
      </c>
      <c r="G11" s="1"/>
    </row>
    <row r="12" spans="1:7" x14ac:dyDescent="0.25">
      <c r="A12" s="1"/>
      <c r="B12" s="104" t="s">
        <v>269</v>
      </c>
      <c r="C12" s="105"/>
      <c r="D12" s="106"/>
      <c r="E12" s="9">
        <v>-735845.94188150018</v>
      </c>
      <c r="F12" s="14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51.75" customHeight="1" x14ac:dyDescent="0.25">
      <c r="A14" s="1"/>
      <c r="B14" s="89" t="s">
        <v>270</v>
      </c>
      <c r="C14" s="90"/>
      <c r="D14" s="90"/>
      <c r="E14" s="90"/>
      <c r="F14" s="91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9" t="s">
        <v>271</v>
      </c>
      <c r="C16" s="100"/>
      <c r="D16" s="100"/>
      <c r="E16" s="100"/>
      <c r="F16" s="101"/>
      <c r="G16" s="1"/>
    </row>
    <row r="17" spans="1:7" x14ac:dyDescent="0.25">
      <c r="A17" s="1"/>
      <c r="B17" s="104" t="s">
        <v>272</v>
      </c>
      <c r="C17" s="105"/>
      <c r="D17" s="106"/>
      <c r="E17" s="9">
        <v>-367923</v>
      </c>
      <c r="F17" s="14" t="s">
        <v>3</v>
      </c>
      <c r="G17" s="1"/>
    </row>
    <row r="18" spans="1:7" x14ac:dyDescent="0.25">
      <c r="A18" s="1"/>
      <c r="B18" s="104" t="s">
        <v>273</v>
      </c>
      <c r="C18" s="105"/>
      <c r="D18" s="106"/>
      <c r="E18" s="9">
        <v>-367923</v>
      </c>
      <c r="F18" s="14" t="s">
        <v>3</v>
      </c>
      <c r="G18" s="1"/>
    </row>
    <row r="19" spans="1:7" x14ac:dyDescent="0.25">
      <c r="A19" s="1"/>
      <c r="B19" s="38"/>
      <c r="C19" s="32"/>
      <c r="D19" s="32"/>
      <c r="E19" s="32"/>
      <c r="F19" s="20"/>
      <c r="G19" s="1"/>
    </row>
    <row r="20" spans="1:7" ht="29.25" customHeight="1" x14ac:dyDescent="0.25">
      <c r="A20" s="1"/>
      <c r="B20" s="89" t="s">
        <v>274</v>
      </c>
      <c r="C20" s="90"/>
      <c r="D20" s="90"/>
      <c r="E20" s="90"/>
      <c r="F20" s="9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4" t="s">
        <v>213</v>
      </c>
      <c r="C22" s="55"/>
      <c r="D22" s="55"/>
      <c r="E22" s="55"/>
      <c r="F22" s="56"/>
      <c r="G22" s="1"/>
    </row>
    <row r="23" spans="1:7" x14ac:dyDescent="0.25">
      <c r="A23" s="1"/>
      <c r="B23" s="59" t="s">
        <v>214</v>
      </c>
      <c r="C23" s="60"/>
      <c r="D23" s="61"/>
      <c r="E23" s="9">
        <v>49576664.421254031</v>
      </c>
      <c r="F23" s="14" t="s">
        <v>3</v>
      </c>
      <c r="G23" s="1"/>
    </row>
    <row r="24" spans="1:7" x14ac:dyDescent="0.25">
      <c r="A24" s="1"/>
      <c r="B24" s="59" t="s">
        <v>215</v>
      </c>
      <c r="C24" s="60"/>
      <c r="D24" s="61"/>
      <c r="E24" s="9">
        <v>45158835</v>
      </c>
      <c r="F24" s="14" t="s">
        <v>3</v>
      </c>
      <c r="G24" s="1"/>
    </row>
    <row r="25" spans="1:7" x14ac:dyDescent="0.25">
      <c r="A25" s="1"/>
      <c r="B25" s="59" t="s">
        <v>36</v>
      </c>
      <c r="C25" s="60"/>
      <c r="D25" s="61"/>
      <c r="E25" s="9">
        <v>0</v>
      </c>
      <c r="F25" s="14" t="s">
        <v>3</v>
      </c>
      <c r="G25" s="1"/>
    </row>
    <row r="26" spans="1:7" x14ac:dyDescent="0.25">
      <c r="A26" s="1"/>
      <c r="B26" s="57" t="s">
        <v>275</v>
      </c>
      <c r="C26" s="58"/>
      <c r="D26" s="64"/>
      <c r="E26" s="48">
        <f>E23-(E24-E25)</f>
        <v>4417829.4212540314</v>
      </c>
      <c r="F26" s="17" t="s">
        <v>3</v>
      </c>
      <c r="G26" s="1"/>
    </row>
    <row r="27" spans="1:7" x14ac:dyDescent="0.25">
      <c r="A27" s="1"/>
      <c r="B27" s="38"/>
      <c r="C27" s="32"/>
      <c r="D27" s="32"/>
      <c r="E27" s="32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99" t="s">
        <v>186</v>
      </c>
      <c r="C30" s="100"/>
      <c r="D30" s="100"/>
      <c r="E30" s="100"/>
      <c r="F30" s="101"/>
      <c r="G30" s="1"/>
    </row>
    <row r="31" spans="1:7" x14ac:dyDescent="0.25">
      <c r="A31" s="1"/>
      <c r="B31" s="116" t="s">
        <v>280</v>
      </c>
      <c r="C31" s="117"/>
      <c r="D31" s="118"/>
      <c r="E31" s="9">
        <v>0</v>
      </c>
      <c r="F31" s="14"/>
      <c r="G31" s="1"/>
    </row>
    <row r="32" spans="1:7" x14ac:dyDescent="0.25">
      <c r="A32" s="1"/>
      <c r="B32" s="116" t="s">
        <v>187</v>
      </c>
      <c r="C32" s="117"/>
      <c r="D32" s="118"/>
      <c r="E32" s="9">
        <f>IF(E31&gt;0,IF(AND(E26&lt;0,OR(E31=1,E31=3),ABS(E26)&lt;ABS(SUM(E9:E12))),0,IF(AND(E26&lt;0,OR(E31=1,E31=3),ABS(E26)&gt;ABS(SUM(E9:E12))),(E26+SUM(E9:E12)),IF(AND(E26&lt;0,E31=2,ABS(E26)&lt;ABS(SUM(E10:E12))),0,IF(AND(E26&lt;0,E31=2,ABS(E26)&gt;ABS(SUM(E10:E12))),(E26+SUM(E10:E12)))))),IF(AND(E12&gt;0,E26&gt;0),0,IF(AND(E12&lt;0,E26&lt;0),E12+E26,IF(E12&lt;0,E12,IF(AND(E10&gt;0,E12&gt;0,E26&lt;0,ABS(E12)&gt;ABS(E26)),0,IF(AND(E10&gt;0,E12&gt;0,E26&lt;0,ABS(E12)&lt;ABS(E26)),(ABS(E12)-ABS(E26)),IF(AND(E10&gt;0,E12&gt;0,E26&lt;0,ABS(E12)&gt;ABS(E26)),0,IF(AND(E10&gt;0,E12&gt;0,E26&lt;0,ABS(E12)&lt;ABS(E26)),(ABS(E12)-ABS(E26)),IF(AND(E10&lt;0,E12&gt;0,E26&lt;0,ABS(E11)&gt;ABS(E12)),E26,IF(AND(E10&lt;0,E12&gt;0,E26&lt;0,ABS(E11)&lt;ABS(E12),ABS(SUM(E11,E12))&gt;ABS(E26)),0,IF(AND(E10&lt;0,E12&gt;0,E26&lt;0,ABS(E11)&lt;ABS(E12),ABS(SUM(E11,E12))&lt;ABS(E26)),(ABS(SUM(E11,E12))-ABS(E26)))))))))))))</f>
        <v>-735845.94188150018</v>
      </c>
      <c r="F32" s="14" t="s">
        <v>3</v>
      </c>
      <c r="G32" s="1"/>
    </row>
    <row r="33" spans="1:7" x14ac:dyDescent="0.25">
      <c r="A33" s="1"/>
      <c r="B33" s="116" t="s">
        <v>120</v>
      </c>
      <c r="C33" s="117"/>
      <c r="D33" s="118"/>
      <c r="E33" s="9">
        <v>2</v>
      </c>
      <c r="F33" s="14" t="s">
        <v>21</v>
      </c>
      <c r="G33" s="1"/>
    </row>
    <row r="34" spans="1:7" x14ac:dyDescent="0.25">
      <c r="A34" s="1"/>
      <c r="B34" s="119" t="s">
        <v>188</v>
      </c>
      <c r="C34" s="119"/>
      <c r="D34" s="119"/>
      <c r="E34" s="10">
        <f>E32/E33</f>
        <v>-367922.97094075009</v>
      </c>
      <c r="F34" s="17" t="s">
        <v>3</v>
      </c>
      <c r="G34" s="1"/>
    </row>
    <row r="35" spans="1:7" x14ac:dyDescent="0.25">
      <c r="A35" s="1"/>
      <c r="B35" s="120"/>
      <c r="C35" s="121"/>
      <c r="D35" s="121"/>
      <c r="E35" s="121"/>
      <c r="F35" s="122"/>
      <c r="G35" s="1"/>
    </row>
    <row r="36" spans="1:7" ht="75" customHeight="1" x14ac:dyDescent="0.25">
      <c r="A36" s="1"/>
      <c r="B36" s="89" t="s">
        <v>279</v>
      </c>
      <c r="C36" s="90"/>
      <c r="D36" s="90"/>
      <c r="E36" s="90"/>
      <c r="F36" s="9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8Vd2oaBjwKoDDFrxTWSHAhS0+8RdsVg+FxaN8Dk959YeYY7FsTcLFirURDTuU6ddCAl3O8E0wKz3vc7UcrXtxQ==" saltValue="Qpelg86ZMmLWwmE0xKZ6KQ==" spinCount="100000" sheet="1" objects="1" scenarios="1"/>
  <mergeCells count="18">
    <mergeCell ref="B20:F20"/>
    <mergeCell ref="B30:F30"/>
    <mergeCell ref="B31:D31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  <mergeCell ref="B32:D32"/>
    <mergeCell ref="B33:D33"/>
    <mergeCell ref="B34:D34"/>
    <mergeCell ref="B35:F35"/>
    <mergeCell ref="B36:F36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216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9" t="s">
        <v>217</v>
      </c>
      <c r="C9" s="100"/>
      <c r="D9" s="100"/>
      <c r="E9" s="100"/>
      <c r="F9" s="101"/>
      <c r="G9" s="1"/>
    </row>
    <row r="10" spans="1:7" x14ac:dyDescent="0.25">
      <c r="A10" s="1"/>
      <c r="B10" s="89" t="s">
        <v>118</v>
      </c>
      <c r="C10" s="90"/>
      <c r="D10" s="91"/>
      <c r="E10" s="7">
        <v>0</v>
      </c>
      <c r="F10" s="8" t="s">
        <v>3</v>
      </c>
      <c r="G10" s="1"/>
    </row>
    <row r="11" spans="1:7" x14ac:dyDescent="0.25">
      <c r="A11" s="1"/>
      <c r="B11" s="104" t="s">
        <v>218</v>
      </c>
      <c r="C11" s="105"/>
      <c r="D11" s="106"/>
      <c r="E11" s="7">
        <v>0</v>
      </c>
      <c r="F11" s="8" t="s">
        <v>3</v>
      </c>
      <c r="G11" s="1"/>
    </row>
    <row r="12" spans="1:7" x14ac:dyDescent="0.25">
      <c r="A12" s="1"/>
      <c r="B12" s="102" t="s">
        <v>119</v>
      </c>
      <c r="C12" s="103"/>
      <c r="D12" s="123"/>
      <c r="E12" s="10">
        <f>E11-E10</f>
        <v>0</v>
      </c>
      <c r="F12" s="11" t="s">
        <v>3</v>
      </c>
      <c r="G12" s="1"/>
    </row>
    <row r="13" spans="1:7" x14ac:dyDescent="0.25">
      <c r="A13" s="1"/>
      <c r="B13" s="99" t="s">
        <v>109</v>
      </c>
      <c r="C13" s="100"/>
      <c r="D13" s="100"/>
      <c r="E13" s="100"/>
      <c r="F13" s="101"/>
      <c r="G13" s="1"/>
    </row>
    <row r="14" spans="1:7" x14ac:dyDescent="0.25">
      <c r="A14" s="1"/>
      <c r="B14" s="104" t="s">
        <v>219</v>
      </c>
      <c r="C14" s="105"/>
      <c r="D14" s="106"/>
      <c r="E14" s="9">
        <v>1945869</v>
      </c>
      <c r="F14" s="8" t="s">
        <v>3</v>
      </c>
      <c r="G14" s="1"/>
    </row>
    <row r="15" spans="1:7" x14ac:dyDescent="0.25">
      <c r="A15" s="1"/>
      <c r="B15" s="89" t="s">
        <v>220</v>
      </c>
      <c r="C15" s="90"/>
      <c r="D15" s="91"/>
      <c r="E15" s="9">
        <v>2195869</v>
      </c>
      <c r="F15" s="8" t="s">
        <v>3</v>
      </c>
      <c r="G15" s="1"/>
    </row>
    <row r="16" spans="1:7" x14ac:dyDescent="0.25">
      <c r="A16" s="1"/>
      <c r="B16" s="102" t="s">
        <v>119</v>
      </c>
      <c r="C16" s="103"/>
      <c r="D16" s="123"/>
      <c r="E16" s="10">
        <f>E15-E14</f>
        <v>250000</v>
      </c>
      <c r="F16" s="11" t="s">
        <v>3</v>
      </c>
      <c r="G16" s="1"/>
    </row>
    <row r="17" spans="1:7" x14ac:dyDescent="0.25">
      <c r="A17" s="1"/>
      <c r="B17" s="38" t="s">
        <v>221</v>
      </c>
      <c r="C17" s="32"/>
      <c r="D17" s="32"/>
      <c r="E17" s="12">
        <f>E12+E16</f>
        <v>250000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/g5DWAJJ2CT0z6qsjQWcJkZJ1fafctlpEERKfegbicYz3Tv9uJ1Llm/wdGJ3HkTO1G2iBRM2kYhjb/D/9KLl4w==" saltValue="1vuKi3QyFfkbwm1PYA1PWw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177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9" t="s">
        <v>178</v>
      </c>
      <c r="C8" s="100"/>
      <c r="D8" s="100"/>
      <c r="E8" s="100"/>
      <c r="F8" s="100"/>
      <c r="G8" s="100"/>
      <c r="H8" s="101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25">
      <c r="A10" s="1"/>
      <c r="B10" s="65" t="s">
        <v>281</v>
      </c>
      <c r="C10" s="66">
        <v>0</v>
      </c>
      <c r="D10" s="9">
        <v>0</v>
      </c>
      <c r="E10" s="9">
        <f t="shared" ref="E10" si="0"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99" t="s">
        <v>179</v>
      </c>
      <c r="C11" s="100"/>
      <c r="D11" s="101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69YLjH8v0lY+ZVC3N9oZNYQ6OM4j6Ff+AVdUlpmVPpS4IovqTG0gr1CUYB+gvBK5/rRspyU941DtJ8WnepnFLg==" saltValue="UTU2SC3T8ldm72nrBN80q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135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25">
      <c r="A9" s="1"/>
      <c r="B9" s="52" t="s">
        <v>18</v>
      </c>
      <c r="C9" s="52" t="s">
        <v>12</v>
      </c>
      <c r="D9" s="53"/>
      <c r="E9" s="52" t="s">
        <v>34</v>
      </c>
      <c r="F9" s="37"/>
      <c r="G9" s="1"/>
    </row>
    <row r="10" spans="1:7" x14ac:dyDescent="0.2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47" t="s">
        <v>277</v>
      </c>
      <c r="C11" s="22">
        <v>58657</v>
      </c>
      <c r="D11" s="14" t="s">
        <v>3</v>
      </c>
      <c r="E11" s="9">
        <v>14677</v>
      </c>
      <c r="F11" s="14" t="s">
        <v>3</v>
      </c>
      <c r="G11" s="1"/>
    </row>
    <row r="12" spans="1:7" x14ac:dyDescent="0.25">
      <c r="A12" s="1"/>
      <c r="B12" s="38" t="s">
        <v>163</v>
      </c>
      <c r="C12" s="12">
        <f>SUM(C10:C11)</f>
        <v>58657</v>
      </c>
      <c r="D12" s="13" t="s">
        <v>3</v>
      </c>
      <c r="E12" s="12">
        <f>SUM(E10:E11)</f>
        <v>14677</v>
      </c>
      <c r="F12" s="13" t="s">
        <v>3</v>
      </c>
      <c r="G12" s="1"/>
    </row>
    <row r="13" spans="1:7" x14ac:dyDescent="0.25">
      <c r="A13" s="1"/>
      <c r="B13" s="38" t="s">
        <v>222</v>
      </c>
      <c r="C13" s="12">
        <f>C12*(1+'Fane 14. Nøgletal'!C14)</f>
        <v>58850.568100000004</v>
      </c>
      <c r="D13" s="13" t="s">
        <v>3</v>
      </c>
      <c r="E13" s="12">
        <f>E12*(1+'Fane 14. Nøgletal'!C14)</f>
        <v>14725.4341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3JzrNSEfEgN1DsvMaW1m6n2iKF/cJagxL118P9VSY+iebdoeMCXNY1OIvUBMP+ecsvLLpF4qMQ8nJBCneM9vXA==" saltValue="qO6kYhcrMYgs7gASVDDGI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134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112</v>
      </c>
      <c r="C8" s="100"/>
      <c r="D8" s="100"/>
      <c r="E8" s="100"/>
      <c r="F8" s="101"/>
      <c r="G8" s="1"/>
    </row>
    <row r="9" spans="1:7" x14ac:dyDescent="0.25">
      <c r="A9" s="1"/>
      <c r="B9" s="52" t="s">
        <v>18</v>
      </c>
      <c r="C9" s="52" t="s">
        <v>12</v>
      </c>
      <c r="D9" s="53"/>
      <c r="E9" s="52" t="s">
        <v>34</v>
      </c>
      <c r="F9" s="37"/>
      <c r="G9" s="1"/>
    </row>
    <row r="10" spans="1:7" x14ac:dyDescent="0.25">
      <c r="A10" s="1"/>
      <c r="B10" s="25" t="s">
        <v>278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2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2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9" t="s">
        <v>113</v>
      </c>
      <c r="C16" s="100"/>
      <c r="D16" s="100"/>
      <c r="E16" s="100"/>
      <c r="F16" s="101"/>
      <c r="G16" s="1"/>
    </row>
    <row r="17" spans="1:7" x14ac:dyDescent="0.25">
      <c r="A17" s="1"/>
      <c r="B17" s="52" t="s">
        <v>18</v>
      </c>
      <c r="C17" s="52" t="s">
        <v>12</v>
      </c>
      <c r="D17" s="53"/>
      <c r="E17" s="52" t="s">
        <v>34</v>
      </c>
      <c r="F17" s="37"/>
      <c r="G17" s="1"/>
    </row>
    <row r="18" spans="1:7" x14ac:dyDescent="0.25">
      <c r="A18" s="1"/>
      <c r="B18" s="25" t="s">
        <v>278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2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2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9" t="s">
        <v>166</v>
      </c>
      <c r="C24" s="100"/>
      <c r="D24" s="100"/>
      <c r="E24" s="100"/>
      <c r="F24" s="101"/>
      <c r="G24" s="1"/>
    </row>
    <row r="25" spans="1:7" x14ac:dyDescent="0.25">
      <c r="A25" s="1"/>
      <c r="B25" s="52" t="s">
        <v>18</v>
      </c>
      <c r="C25" s="52" t="s">
        <v>12</v>
      </c>
      <c r="D25" s="53"/>
      <c r="E25" s="52" t="s">
        <v>34</v>
      </c>
      <c r="F25" s="37"/>
      <c r="G25" s="1"/>
    </row>
    <row r="26" spans="1:7" x14ac:dyDescent="0.25">
      <c r="A26" s="1"/>
      <c r="B26" s="25" t="s">
        <v>278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2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2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9" t="s">
        <v>224</v>
      </c>
      <c r="C32" s="100"/>
      <c r="D32" s="100"/>
      <c r="E32" s="100"/>
      <c r="F32" s="101"/>
      <c r="G32" s="1"/>
    </row>
    <row r="33" spans="1:7" x14ac:dyDescent="0.25">
      <c r="A33" s="1"/>
      <c r="B33" s="52" t="s">
        <v>18</v>
      </c>
      <c r="C33" s="52" t="s">
        <v>12</v>
      </c>
      <c r="D33" s="53"/>
      <c r="E33" s="52" t="s">
        <v>34</v>
      </c>
      <c r="F33" s="37"/>
      <c r="G33" s="1"/>
    </row>
    <row r="34" spans="1:7" x14ac:dyDescent="0.25">
      <c r="A34" s="1"/>
      <c r="B34" s="25" t="s">
        <v>278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2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2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e3iJ6dAgTp1daE/DoqGk72jbNaYFrHcw3XSfqJ3FU+uBmxiE0B44H4ksRGwLbhdYSCZSn75e1v2rySIPw5Y89w==" saltValue="qVJ7Ok9/snOhHyFWuyogH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136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2"/>
      <c r="C5" s="92"/>
      <c r="D5" s="92"/>
      <c r="E5" s="92"/>
      <c r="F5" s="92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103</v>
      </c>
      <c r="C8" s="100"/>
      <c r="D8" s="100"/>
      <c r="E8" s="100"/>
      <c r="F8" s="101"/>
      <c r="G8" s="1"/>
    </row>
    <row r="9" spans="1:7" x14ac:dyDescent="0.25">
      <c r="A9" s="1"/>
      <c r="B9" s="124" t="s">
        <v>226</v>
      </c>
      <c r="C9" s="125"/>
      <c r="D9" s="126"/>
      <c r="E9" s="9">
        <v>0</v>
      </c>
      <c r="F9" s="14" t="s">
        <v>3</v>
      </c>
      <c r="G9" s="1"/>
    </row>
    <row r="10" spans="1:7" x14ac:dyDescent="0.25">
      <c r="A10" s="1"/>
      <c r="B10" s="93" t="s">
        <v>10</v>
      </c>
      <c r="C10" s="94"/>
      <c r="D10" s="95"/>
      <c r="E10" s="9">
        <f>-E9*'Fane 5. Individuelt eff. krav'!G12</f>
        <v>0</v>
      </c>
      <c r="F10" s="14" t="s">
        <v>3</v>
      </c>
      <c r="G10" s="1"/>
    </row>
    <row r="11" spans="1:7" x14ac:dyDescent="0.25">
      <c r="A11" s="1"/>
      <c r="B11" s="93" t="s">
        <v>26</v>
      </c>
      <c r="C11" s="94"/>
      <c r="D11" s="95"/>
      <c r="E11" s="9">
        <f>-E9*'Fane 14. Nøgletal'!C29</f>
        <v>0</v>
      </c>
      <c r="F11" s="14" t="s">
        <v>3</v>
      </c>
      <c r="G11" s="1"/>
    </row>
    <row r="12" spans="1:7" x14ac:dyDescent="0.25">
      <c r="A12" s="1"/>
      <c r="B12" s="99" t="s">
        <v>105</v>
      </c>
      <c r="C12" s="100"/>
      <c r="D12" s="101"/>
      <c r="E12" s="12">
        <f>SUM(E9:E11)*(1+'Fane 14. Nøgletal'!C14)^2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9" t="s">
        <v>104</v>
      </c>
      <c r="C14" s="100"/>
      <c r="D14" s="100"/>
      <c r="E14" s="100"/>
      <c r="F14" s="101"/>
      <c r="G14" s="1"/>
    </row>
    <row r="15" spans="1:7" ht="15" customHeight="1" x14ac:dyDescent="0.25">
      <c r="A15" s="1"/>
      <c r="B15" s="124" t="s">
        <v>226</v>
      </c>
      <c r="C15" s="125"/>
      <c r="D15" s="126"/>
      <c r="E15" s="9">
        <v>0</v>
      </c>
      <c r="F15" s="14" t="s">
        <v>3</v>
      </c>
      <c r="G15" s="1"/>
    </row>
    <row r="16" spans="1:7" x14ac:dyDescent="0.25">
      <c r="A16" s="1"/>
      <c r="B16" s="93" t="s">
        <v>10</v>
      </c>
      <c r="C16" s="94"/>
      <c r="D16" s="95"/>
      <c r="E16" s="9">
        <f>-E15*'Fane 5. Individuelt eff. krav'!G12</f>
        <v>0</v>
      </c>
      <c r="F16" s="14" t="s">
        <v>3</v>
      </c>
      <c r="G16" s="1"/>
    </row>
    <row r="17" spans="1:7" x14ac:dyDescent="0.25">
      <c r="A17" s="1"/>
      <c r="B17" s="93" t="s">
        <v>26</v>
      </c>
      <c r="C17" s="94"/>
      <c r="D17" s="95"/>
      <c r="E17" s="9">
        <f>-E15*'Fane 14. Nøgletal'!C29</f>
        <v>0</v>
      </c>
      <c r="F17" s="14" t="s">
        <v>3</v>
      </c>
      <c r="G17" s="1"/>
    </row>
    <row r="18" spans="1:7" x14ac:dyDescent="0.25">
      <c r="A18" s="1"/>
      <c r="B18" s="99" t="s">
        <v>106</v>
      </c>
      <c r="C18" s="100"/>
      <c r="D18" s="101"/>
      <c r="E18" s="12">
        <f>SUM(E15:E17)*(1+'Fane 14. Nøgletal'!C14)^3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9" t="s">
        <v>155</v>
      </c>
      <c r="C20" s="100"/>
      <c r="D20" s="100"/>
      <c r="E20" s="100"/>
      <c r="F20" s="101"/>
      <c r="G20" s="1"/>
    </row>
    <row r="21" spans="1:7" ht="15" customHeight="1" x14ac:dyDescent="0.25">
      <c r="A21" s="1"/>
      <c r="B21" s="124" t="s">
        <v>226</v>
      </c>
      <c r="C21" s="125"/>
      <c r="D21" s="126"/>
      <c r="E21" s="9">
        <v>0</v>
      </c>
      <c r="F21" s="14" t="s">
        <v>3</v>
      </c>
      <c r="G21" s="1"/>
    </row>
    <row r="22" spans="1:7" x14ac:dyDescent="0.25">
      <c r="A22" s="1"/>
      <c r="B22" s="93" t="s">
        <v>10</v>
      </c>
      <c r="C22" s="94"/>
      <c r="D22" s="95"/>
      <c r="E22" s="9">
        <f>-E21*'Fane 5. Individuelt eff. krav'!G12</f>
        <v>0</v>
      </c>
      <c r="F22" s="14" t="s">
        <v>3</v>
      </c>
      <c r="G22" s="1"/>
    </row>
    <row r="23" spans="1:7" x14ac:dyDescent="0.25">
      <c r="A23" s="1"/>
      <c r="B23" s="93" t="s">
        <v>26</v>
      </c>
      <c r="C23" s="94"/>
      <c r="D23" s="95"/>
      <c r="E23" s="9">
        <f>-E21*'Fane 14. Nøgletal'!C29</f>
        <v>0</v>
      </c>
      <c r="F23" s="14" t="s">
        <v>3</v>
      </c>
      <c r="G23" s="1"/>
    </row>
    <row r="24" spans="1:7" x14ac:dyDescent="0.25">
      <c r="A24" s="1"/>
      <c r="B24" s="99" t="s">
        <v>156</v>
      </c>
      <c r="C24" s="100"/>
      <c r="D24" s="101"/>
      <c r="E24" s="12">
        <f>SUM(E21:E23)*(1+'Fane 14. Nøgletal'!C14)^4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9" t="s">
        <v>227</v>
      </c>
      <c r="C26" s="100"/>
      <c r="D26" s="100"/>
      <c r="E26" s="100"/>
      <c r="F26" s="101"/>
      <c r="G26" s="1"/>
    </row>
    <row r="27" spans="1:7" ht="15" customHeight="1" x14ac:dyDescent="0.25">
      <c r="A27" s="1"/>
      <c r="B27" s="124" t="s">
        <v>226</v>
      </c>
      <c r="C27" s="125"/>
      <c r="D27" s="126"/>
      <c r="E27" s="9">
        <v>0</v>
      </c>
      <c r="F27" s="14" t="s">
        <v>3</v>
      </c>
      <c r="G27" s="1"/>
    </row>
    <row r="28" spans="1:7" x14ac:dyDescent="0.25">
      <c r="A28" s="1"/>
      <c r="B28" s="93" t="s">
        <v>10</v>
      </c>
      <c r="C28" s="94"/>
      <c r="D28" s="95"/>
      <c r="E28" s="9">
        <f>-E27*'Fane 5. Individuelt eff. krav'!G12</f>
        <v>0</v>
      </c>
      <c r="F28" s="14" t="s">
        <v>3</v>
      </c>
      <c r="G28" s="1"/>
    </row>
    <row r="29" spans="1:7" x14ac:dyDescent="0.25">
      <c r="A29" s="1"/>
      <c r="B29" s="93" t="s">
        <v>26</v>
      </c>
      <c r="C29" s="94"/>
      <c r="D29" s="95"/>
      <c r="E29" s="9">
        <f>-E27*'Fane 14. Nøgletal'!C29</f>
        <v>0</v>
      </c>
      <c r="F29" s="14" t="s">
        <v>3</v>
      </c>
      <c r="G29" s="1"/>
    </row>
    <row r="30" spans="1:7" x14ac:dyDescent="0.25">
      <c r="A30" s="1"/>
      <c r="B30" s="99" t="s">
        <v>228</v>
      </c>
      <c r="C30" s="100"/>
      <c r="D30" s="101"/>
      <c r="E30" s="12">
        <f>SUM(E27:E29)*(1+'Fane 14. Nøgletal'!C14)^5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snjVqxrbTmph/+EOQOLphgJPMQolVm55DkssODG0u2s0BGJlQAKNJzfH58xXkwZsyF8Lkg2l9xCclEaZEreQTg==" saltValue="AtOe5i7zNCEErLefvq1t1A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157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158</v>
      </c>
      <c r="C8" s="100"/>
      <c r="D8" s="100"/>
      <c r="E8" s="100"/>
      <c r="F8" s="101"/>
      <c r="G8" s="1"/>
    </row>
    <row r="9" spans="1:7" ht="15" customHeight="1" x14ac:dyDescent="0.2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sET7akSETcmKqndUoRvkEyt39NGumXlO9RN6TnasbksMUh3rw2i3ZfWuRzZJbRTu9zarc0ecBoelNnIXu55zBA==" saltValue="x5exYSFsY9oz6iYZ7CAJoA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133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107</v>
      </c>
      <c r="C8" s="100"/>
      <c r="D8" s="100"/>
      <c r="E8" s="100"/>
      <c r="F8" s="101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264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9" t="s">
        <v>108</v>
      </c>
      <c r="C14" s="100"/>
      <c r="D14" s="100"/>
      <c r="E14" s="100"/>
      <c r="F14" s="101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25">
      <c r="A16" s="1"/>
      <c r="B16" s="25" t="s">
        <v>264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9" t="s">
        <v>169</v>
      </c>
      <c r="C20" s="100"/>
      <c r="D20" s="100"/>
      <c r="E20" s="100"/>
      <c r="F20" s="101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25">
      <c r="A22" s="1"/>
      <c r="B22" s="25" t="s">
        <v>264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9" t="s">
        <v>231</v>
      </c>
      <c r="C26" s="100"/>
      <c r="D26" s="100"/>
      <c r="E26" s="100"/>
      <c r="F26" s="101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25">
      <c r="A28" s="1"/>
      <c r="B28" s="25" t="s">
        <v>264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6fe97+JC0s2WbHwcsGXMsxsFnAMSVSccRrxEzlwD1OWgMw4KKUHCI05sXXv4sY/leEr4V/iTKStPdg0eolu+UA==" saltValue="UoXbb1cR/vKbG+p3OEqAN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2" t="s">
        <v>189</v>
      </c>
      <c r="C3" s="92"/>
      <c r="D3" s="1"/>
    </row>
    <row r="4" spans="1:4" ht="25.5" customHeight="1" x14ac:dyDescent="0.25">
      <c r="A4" s="1"/>
      <c r="B4" s="92"/>
      <c r="C4" s="9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62" t="s">
        <v>137</v>
      </c>
      <c r="C9" s="26">
        <v>1.2699999999999999E-2</v>
      </c>
      <c r="D9" s="1"/>
    </row>
    <row r="10" spans="1:4" x14ac:dyDescent="0.25">
      <c r="A10" s="1"/>
      <c r="B10" s="62" t="s">
        <v>138</v>
      </c>
      <c r="C10" s="26">
        <v>1.7500000000000002E-2</v>
      </c>
      <c r="D10" s="1"/>
    </row>
    <row r="11" spans="1:4" x14ac:dyDescent="0.25">
      <c r="A11" s="1"/>
      <c r="B11" s="62" t="s">
        <v>24</v>
      </c>
      <c r="C11" s="26">
        <v>1.6899999999999998E-2</v>
      </c>
      <c r="D11" s="1"/>
    </row>
    <row r="12" spans="1:4" x14ac:dyDescent="0.25">
      <c r="A12" s="1"/>
      <c r="B12" s="39" t="s">
        <v>254</v>
      </c>
      <c r="C12" s="40">
        <v>1.9699999999999999E-2</v>
      </c>
      <c r="D12" s="1"/>
    </row>
    <row r="13" spans="1:4" x14ac:dyDescent="0.25">
      <c r="A13" s="1"/>
      <c r="B13" s="39" t="s">
        <v>162</v>
      </c>
      <c r="C13" s="40">
        <v>1.2200000000000001E-2</v>
      </c>
      <c r="D13" s="1"/>
    </row>
    <row r="14" spans="1:4" x14ac:dyDescent="0.25">
      <c r="A14" s="1"/>
      <c r="B14" s="62" t="s">
        <v>253</v>
      </c>
      <c r="C14" s="67">
        <v>3.3E-3</v>
      </c>
      <c r="D14" s="1"/>
    </row>
    <row r="15" spans="1:4" x14ac:dyDescent="0.25">
      <c r="A15" s="1"/>
      <c r="B15" s="38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38" t="s">
        <v>121</v>
      </c>
      <c r="C18" s="20"/>
      <c r="D18" s="1"/>
    </row>
    <row r="19" spans="1:4" x14ac:dyDescent="0.25">
      <c r="A19" s="1"/>
      <c r="B19" s="62" t="s">
        <v>139</v>
      </c>
      <c r="C19" s="23">
        <v>9.1000000000000004E-3</v>
      </c>
      <c r="D19" s="1"/>
    </row>
    <row r="20" spans="1:4" x14ac:dyDescent="0.25">
      <c r="A20" s="1"/>
      <c r="B20" s="62" t="s">
        <v>190</v>
      </c>
      <c r="C20" s="23">
        <v>1.77E-2</v>
      </c>
      <c r="D20" s="1"/>
    </row>
    <row r="21" spans="1:4" x14ac:dyDescent="0.25">
      <c r="A21" s="1"/>
      <c r="B21" s="62" t="s">
        <v>191</v>
      </c>
      <c r="C21" s="23">
        <v>8.6999999999999994E-3</v>
      </c>
      <c r="D21" s="1"/>
    </row>
    <row r="22" spans="1:4" x14ac:dyDescent="0.25">
      <c r="A22" s="1"/>
      <c r="B22" s="62" t="s">
        <v>140</v>
      </c>
      <c r="C22" s="41">
        <v>2.8400000000000002E-2</v>
      </c>
      <c r="D22" s="1"/>
    </row>
    <row r="23" spans="1:4" x14ac:dyDescent="0.25">
      <c r="A23" s="1"/>
      <c r="B23" s="62" t="s">
        <v>192</v>
      </c>
      <c r="C23" s="41">
        <v>2.75E-2</v>
      </c>
      <c r="D23" s="1"/>
    </row>
    <row r="24" spans="1:4" x14ac:dyDescent="0.25">
      <c r="A24" s="1"/>
      <c r="B24" s="62" t="s">
        <v>193</v>
      </c>
      <c r="C24" s="41">
        <v>1.4800000000000001E-2</v>
      </c>
      <c r="D24" s="1"/>
    </row>
    <row r="25" spans="1:4" x14ac:dyDescent="0.25">
      <c r="A25" s="1"/>
      <c r="B25" s="38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38" t="s">
        <v>122</v>
      </c>
      <c r="C28" s="20"/>
      <c r="D28" s="1"/>
    </row>
    <row r="29" spans="1:4" x14ac:dyDescent="0.25">
      <c r="A29" s="1"/>
      <c r="B29" s="62" t="s">
        <v>141</v>
      </c>
      <c r="C29" s="26">
        <v>0.02</v>
      </c>
      <c r="D29" s="1"/>
    </row>
    <row r="30" spans="1:4" x14ac:dyDescent="0.25">
      <c r="A30" s="1"/>
      <c r="B30" s="38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r8NXJXJwQ8I53WDZFFefH/95iFG5NdUvp2vSwsWovldN5nQhx5hWC+T2clU9jPpDBPFI178GjZCq8SRd43tB4A==" saltValue="gpTTZAAXcWncKs5se7jKHg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showWhiteSpace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194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260</v>
      </c>
      <c r="C9" s="7">
        <f>'Fane 3. Omkostninger i ØR2021'!E20</f>
        <v>49051766.943914644</v>
      </c>
      <c r="D9" s="8" t="s">
        <v>3</v>
      </c>
      <c r="E9" s="1"/>
    </row>
    <row r="10" spans="1:5" ht="17.100000000000001" customHeight="1" x14ac:dyDescent="0.25">
      <c r="A10" s="1"/>
      <c r="B10" s="51" t="s">
        <v>43</v>
      </c>
      <c r="C10" s="7">
        <f>'Fane 10.1. Varige tillæg'!C13</f>
        <v>58850.568100000004</v>
      </c>
      <c r="D10" s="8" t="s">
        <v>3</v>
      </c>
      <c r="E10" s="1"/>
    </row>
    <row r="11" spans="1:5" ht="17.100000000000001" customHeight="1" x14ac:dyDescent="0.25">
      <c r="A11" s="1"/>
      <c r="B11" s="51" t="s">
        <v>44</v>
      </c>
      <c r="C11" s="9">
        <f>'Fane 10.1. Varige tillæg'!E13</f>
        <v>14725.4341</v>
      </c>
      <c r="D11" s="8" t="s">
        <v>3</v>
      </c>
      <c r="E11" s="1"/>
    </row>
    <row r="12" spans="1:5" ht="17.100000000000001" customHeight="1" x14ac:dyDescent="0.25">
      <c r="A12" s="1"/>
      <c r="B12" s="51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1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1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51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51" t="s">
        <v>20</v>
      </c>
      <c r="C16" s="9">
        <f>SUM(C9:C15)*'Fane 14. Nøgletal'!C14</f>
        <v>162113.63172217834</v>
      </c>
      <c r="D16" s="8" t="s">
        <v>3</v>
      </c>
      <c r="E16" s="1"/>
    </row>
    <row r="17" spans="1:5" ht="17.100000000000001" customHeight="1" x14ac:dyDescent="0.25">
      <c r="A17" s="1"/>
      <c r="B17" s="51" t="s">
        <v>10</v>
      </c>
      <c r="C17" s="9">
        <f>-SUM(C9:C16)*'Fane 5. Individuelt eff. krav'!G12</f>
        <v>-985749.13155673654</v>
      </c>
      <c r="D17" s="8" t="s">
        <v>3</v>
      </c>
      <c r="E17" s="1"/>
    </row>
    <row r="18" spans="1:5" ht="17.100000000000001" customHeight="1" x14ac:dyDescent="0.25">
      <c r="A18" s="1"/>
      <c r="B18" s="51" t="s">
        <v>26</v>
      </c>
      <c r="C18" s="9">
        <f>-'Fane 4.1. Gen. krav - drift'!G40</f>
        <v>-441969.96807959705</v>
      </c>
      <c r="D18" s="8" t="s">
        <v>3</v>
      </c>
      <c r="E18" s="1"/>
    </row>
    <row r="19" spans="1:5" ht="17.100000000000001" customHeight="1" x14ac:dyDescent="0.25">
      <c r="A19" s="1"/>
      <c r="B19" s="51" t="s">
        <v>27</v>
      </c>
      <c r="C19" s="9">
        <f>-'Fane 4.2. Gen. krav - anlæg'!G37</f>
        <v>-430817.68098632782</v>
      </c>
      <c r="D19" s="8" t="s">
        <v>3</v>
      </c>
      <c r="E19" s="1"/>
    </row>
    <row r="20" spans="1:5" ht="17.100000000000001" customHeight="1" x14ac:dyDescent="0.25">
      <c r="A20" s="1"/>
      <c r="B20" s="57" t="s">
        <v>22</v>
      </c>
      <c r="C20" s="10">
        <f>SUM(C9:C19)</f>
        <v>47428919.797214165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omk.'!C13+'Fane 6. Ikke-påvirkelige omk.'!C17+'Fane 6. Ikke-påvirkelige omk.'!C25</f>
        <v>2987671.0067143999</v>
      </c>
      <c r="D22" s="11" t="s">
        <v>3</v>
      </c>
      <c r="E22" s="1"/>
    </row>
    <row r="23" spans="1:5" ht="15" customHeight="1" x14ac:dyDescent="0.25">
      <c r="A23" s="1"/>
      <c r="B23" s="38" t="s">
        <v>94</v>
      </c>
      <c r="C23" s="32"/>
      <c r="D23" s="20"/>
      <c r="E23" s="1"/>
    </row>
    <row r="24" spans="1:5" ht="15" customHeight="1" x14ac:dyDescent="0.25">
      <c r="A24" s="1"/>
      <c r="B24" s="57" t="s">
        <v>94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93</v>
      </c>
      <c r="C25" s="32"/>
      <c r="D25" s="20"/>
      <c r="E25" s="1"/>
    </row>
    <row r="26" spans="1:5" ht="15" customHeight="1" x14ac:dyDescent="0.25">
      <c r="A26" s="1"/>
      <c r="B26" s="51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1" t="s">
        <v>90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7" t="s">
        <v>95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187</v>
      </c>
      <c r="C29" s="32"/>
      <c r="D29" s="20"/>
      <c r="E29" s="1"/>
    </row>
    <row r="30" spans="1:5" x14ac:dyDescent="0.25">
      <c r="A30" s="1"/>
      <c r="B30" s="36" t="s">
        <v>283</v>
      </c>
      <c r="C30" s="10">
        <f>'Fane 7. Kontrol af ØR2020'!E34</f>
        <v>-367922.97094075009</v>
      </c>
      <c r="D30" s="11" t="s">
        <v>3</v>
      </c>
      <c r="E30" s="1"/>
    </row>
    <row r="31" spans="1:5" ht="15" customHeight="1" x14ac:dyDescent="0.25">
      <c r="A31" s="1"/>
      <c r="B31" s="38" t="s">
        <v>195</v>
      </c>
      <c r="C31" s="32"/>
      <c r="D31" s="20"/>
      <c r="E31" s="1"/>
    </row>
    <row r="32" spans="1:5" x14ac:dyDescent="0.25">
      <c r="A32" s="1"/>
      <c r="B32" s="36" t="s">
        <v>195</v>
      </c>
      <c r="C32" s="10">
        <f>'Fane 8. Korrektion af ØR2020'!E17</f>
        <v>250000</v>
      </c>
      <c r="D32" s="11" t="s">
        <v>3</v>
      </c>
      <c r="E32" s="1"/>
    </row>
    <row r="33" spans="1:5" x14ac:dyDescent="0.25">
      <c r="A33" s="1"/>
      <c r="B33" s="35" t="s">
        <v>258</v>
      </c>
      <c r="C33" s="32"/>
      <c r="D33" s="20"/>
      <c r="E33" s="1"/>
    </row>
    <row r="34" spans="1:5" x14ac:dyDescent="0.25">
      <c r="A34" s="1"/>
      <c r="B34" s="63" t="s">
        <v>259</v>
      </c>
      <c r="C34" s="10">
        <v>0</v>
      </c>
      <c r="D34" s="11" t="s">
        <v>3</v>
      </c>
      <c r="E34" s="1"/>
    </row>
    <row r="35" spans="1:5" x14ac:dyDescent="0.25">
      <c r="A35" s="1"/>
      <c r="B35" s="38" t="s">
        <v>32</v>
      </c>
      <c r="C35" s="34">
        <f>SUM(C32,C30,C28,C24,C22,C20)</f>
        <v>50298667.832987815</v>
      </c>
      <c r="D35" s="35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GqhOSIbI3DTJQuiFv6V3Yv2LJRjKBssnoXEGdV2wcEMEnEGXIwZna+Ql1ym0n9+yO8cWSjZMjBJ2qyNkHiEWnA==" saltValue="V9CYzlw8VURqLPBD1sVq6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196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88"/>
      <c r="C5" s="88"/>
      <c r="D5" s="88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151</v>
      </c>
      <c r="C9" s="7">
        <f>'Fane 2.1. Økonomisk ramme 2022'!C20</f>
        <v>47428919.797214165</v>
      </c>
      <c r="D9" s="8" t="s">
        <v>3</v>
      </c>
      <c r="E9" s="1"/>
    </row>
    <row r="10" spans="1:5" ht="15" customHeight="1" x14ac:dyDescent="0.25">
      <c r="A10" s="1"/>
      <c r="B10" s="51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1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156515.43533080674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-951708.70465089951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drift'!G47</f>
        <v>-434559.89959477453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anlæg'!G44</f>
        <v>-425842.23651944572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45773324.391779847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omk.'!C13*(1+'Fane 14. Nøgletal'!C14)+'Fane 6. Ikke-påvirkelige omk.'!C18+'Fane 6. Ikke-påvirkelige omk.'!C26</f>
        <v>2991108.9533365578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7" t="s">
        <v>94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1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1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7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187</v>
      </c>
      <c r="C25" s="32"/>
      <c r="D25" s="20"/>
      <c r="E25" s="1"/>
    </row>
    <row r="26" spans="1:5" ht="15" customHeight="1" x14ac:dyDescent="0.25">
      <c r="A26" s="1"/>
      <c r="B26" s="36" t="s">
        <v>283</v>
      </c>
      <c r="C26" s="10">
        <f>'Fane 7. Kontrol af ØR2020'!E34</f>
        <v>-367922.97094075009</v>
      </c>
      <c r="D26" s="11" t="s">
        <v>3</v>
      </c>
      <c r="E26" s="1"/>
    </row>
    <row r="27" spans="1:5" x14ac:dyDescent="0.25">
      <c r="A27" s="1"/>
      <c r="B27" s="35" t="s">
        <v>258</v>
      </c>
      <c r="C27" s="32"/>
      <c r="D27" s="20"/>
      <c r="E27" s="1"/>
    </row>
    <row r="28" spans="1:5" x14ac:dyDescent="0.25">
      <c r="A28" s="1"/>
      <c r="B28" s="63" t="s">
        <v>259</v>
      </c>
      <c r="C28" s="10">
        <v>0</v>
      </c>
      <c r="D28" s="11" t="s">
        <v>3</v>
      </c>
      <c r="E28" s="1"/>
    </row>
    <row r="29" spans="1:5" x14ac:dyDescent="0.25">
      <c r="A29" s="1"/>
      <c r="B29" s="38" t="s">
        <v>102</v>
      </c>
      <c r="C29" s="12">
        <f>SUM(C16,C18,C20,C24,C26,C28)</f>
        <v>48396510.374175653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BEe6LoXPPsajMseYkhNHhadJCUW3MY0e81iOkruO6i1wp4Fxntbqvwa3VrH1VR6bVHbQXuFOK2yBszEJ7t6Kzw==" saltValue="36712IN/2z+MvK0PJ32Oa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197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88" t="s">
        <v>23</v>
      </c>
      <c r="C5" s="88"/>
      <c r="D5" s="88"/>
      <c r="E5" s="1"/>
    </row>
    <row r="6" spans="1:5" x14ac:dyDescent="0.25">
      <c r="A6" s="1"/>
      <c r="B6" s="49"/>
      <c r="C6" s="49"/>
      <c r="D6" s="49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152</v>
      </c>
      <c r="C9" s="7">
        <f>'Fane 2.2. Økonomisk ramme 2023'!C16</f>
        <v>45773324.391779847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151051.97049287349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-918487.52724545449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drift'!G55</f>
        <v>-427274.06831816852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anlæg'!G55</f>
        <v>-420924.25266464055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44157690.514044464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omk.'!C13*(1+'Fane 14. Nøgletal'!C14)^2+'Fane 6. Ikke-påvirkelige omk.'!C19+'Fane 6. Ikke-påvirkelige omk.'!C27</f>
        <v>1922639.2451825684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7" t="s">
        <v>94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1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1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7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3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153</v>
      </c>
      <c r="C27" s="12">
        <f>SUM(C16,C18,C20,C24,C26)</f>
        <v>46080329.75922703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lnqw3Y9/b3UZ9Oj/Kmn9C/13smdZLdix5oR29rIJiZAgnkNskCJce6/W8/zBIgesPi9HKc8c8L2RUH5qCFf/7Q==" saltValue="BJp4UcXjrhtn9WPAQmnfn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198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88" t="s">
        <v>23</v>
      </c>
      <c r="C5" s="88"/>
      <c r="D5" s="88"/>
      <c r="E5" s="1"/>
    </row>
    <row r="6" spans="1:5" x14ac:dyDescent="0.25">
      <c r="A6" s="1"/>
      <c r="B6" s="49"/>
      <c r="C6" s="49"/>
      <c r="D6" s="49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199</v>
      </c>
      <c r="C9" s="7">
        <f>'Fane 2.3. Økonomisk ramme 2024'!C16</f>
        <v>44157690.514044464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145720.37869634674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-886068.21785481623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drift'!G61</f>
        <v>-420110.39128874615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anlæg'!G61</f>
        <v>-416063.0658184971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42581169.21777875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omk.'!C13*(1+'Fane 14. Nøgletal'!C14)^3+'Fane 6. Ikke-påvirkelige omk.'!C20+'Fane 6. Ikke-påvirkelige omk.'!C28</f>
        <v>1132999.9196916709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7" t="s">
        <v>94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1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1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7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3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200</v>
      </c>
      <c r="C27" s="12">
        <f>SUM(C16,C18,C20,C24,C26)</f>
        <v>43714169.137470424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jEcrOMfcNGcGjJ5CWV2905kb0en2zI6Iq0gDiopq2zAtTaer4zCRfNK2IhVlhzNiDsVT1wUKHSFXTbENmZYSMg==" saltValue="By6hB7M361L2WzAbyESa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250</v>
      </c>
      <c r="C3" s="92"/>
      <c r="D3" s="92"/>
      <c r="E3" s="92"/>
      <c r="F3" s="92"/>
      <c r="G3" s="1"/>
    </row>
    <row r="4" spans="1:7" ht="29.2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276</v>
      </c>
      <c r="C8" s="32"/>
      <c r="D8" s="32"/>
      <c r="E8" s="32"/>
      <c r="F8" s="20"/>
      <c r="G8" s="1"/>
    </row>
    <row r="9" spans="1:7" ht="15" customHeight="1" x14ac:dyDescent="0.25">
      <c r="A9" s="1"/>
      <c r="B9" s="89" t="s">
        <v>25</v>
      </c>
      <c r="C9" s="90"/>
      <c r="D9" s="91"/>
      <c r="E9" s="7">
        <v>49755826.458204903</v>
      </c>
      <c r="F9" s="8" t="s">
        <v>3</v>
      </c>
      <c r="G9" s="1"/>
    </row>
    <row r="10" spans="1:7" ht="15" customHeight="1" x14ac:dyDescent="0.25">
      <c r="A10" s="1"/>
      <c r="B10" s="93" t="s">
        <v>43</v>
      </c>
      <c r="C10" s="94"/>
      <c r="D10" s="95"/>
      <c r="E10" s="7">
        <v>0</v>
      </c>
      <c r="F10" s="8" t="s">
        <v>3</v>
      </c>
      <c r="G10" s="1"/>
    </row>
    <row r="11" spans="1:7" ht="15" customHeight="1" x14ac:dyDescent="0.25">
      <c r="A11" s="1"/>
      <c r="B11" s="93" t="s">
        <v>44</v>
      </c>
      <c r="C11" s="94"/>
      <c r="D11" s="95"/>
      <c r="E11" s="9">
        <v>0</v>
      </c>
      <c r="F11" s="8" t="s">
        <v>3</v>
      </c>
      <c r="G11" s="1"/>
    </row>
    <row r="12" spans="1:7" ht="15" customHeight="1" x14ac:dyDescent="0.25">
      <c r="A12" s="1"/>
      <c r="B12" s="93" t="s">
        <v>29</v>
      </c>
      <c r="C12" s="94"/>
      <c r="D12" s="95"/>
      <c r="E12" s="9">
        <v>0</v>
      </c>
      <c r="F12" s="8" t="s">
        <v>3</v>
      </c>
      <c r="G12" s="1"/>
    </row>
    <row r="13" spans="1:7" ht="15" customHeight="1" x14ac:dyDescent="0.25">
      <c r="A13" s="1"/>
      <c r="B13" s="89" t="s">
        <v>28</v>
      </c>
      <c r="C13" s="90"/>
      <c r="D13" s="91"/>
      <c r="E13" s="9">
        <v>0</v>
      </c>
      <c r="F13" s="8" t="s">
        <v>3</v>
      </c>
      <c r="G13" s="1"/>
    </row>
    <row r="14" spans="1:7" ht="15" customHeight="1" x14ac:dyDescent="0.25">
      <c r="A14" s="1"/>
      <c r="B14" s="89" t="s">
        <v>31</v>
      </c>
      <c r="C14" s="90"/>
      <c r="D14" s="91"/>
      <c r="E14" s="9">
        <v>0</v>
      </c>
      <c r="F14" s="8" t="s">
        <v>3</v>
      </c>
      <c r="G14" s="1"/>
    </row>
    <row r="15" spans="1:7" ht="15" customHeight="1" x14ac:dyDescent="0.25">
      <c r="A15" s="1"/>
      <c r="B15" s="89" t="s">
        <v>30</v>
      </c>
      <c r="C15" s="90"/>
      <c r="D15" s="91"/>
      <c r="E15" s="9">
        <v>0</v>
      </c>
      <c r="F15" s="8" t="s">
        <v>3</v>
      </c>
      <c r="G15" s="1"/>
    </row>
    <row r="16" spans="1:7" ht="15" customHeight="1" x14ac:dyDescent="0.25">
      <c r="A16" s="1"/>
      <c r="B16" s="89" t="s">
        <v>20</v>
      </c>
      <c r="C16" s="90"/>
      <c r="D16" s="91"/>
      <c r="E16" s="9">
        <v>980189.78122663649</v>
      </c>
      <c r="F16" s="8" t="s">
        <v>3</v>
      </c>
      <c r="G16" s="1"/>
    </row>
    <row r="17" spans="1:7" ht="15" customHeight="1" x14ac:dyDescent="0.25">
      <c r="A17" s="1"/>
      <c r="B17" s="89" t="s">
        <v>10</v>
      </c>
      <c r="C17" s="90"/>
      <c r="D17" s="91"/>
      <c r="E17" s="9">
        <v>-388304.11881703185</v>
      </c>
      <c r="F17" s="8" t="s">
        <v>3</v>
      </c>
      <c r="G17" s="1"/>
    </row>
    <row r="18" spans="1:7" ht="15" customHeight="1" x14ac:dyDescent="0.25">
      <c r="A18" s="1"/>
      <c r="B18" s="89" t="s">
        <v>26</v>
      </c>
      <c r="C18" s="90"/>
      <c r="D18" s="91"/>
      <c r="E18" s="9">
        <f>-'Fane 4.1. Gen. krav - drift'!G34</f>
        <v>-448305.36025005492</v>
      </c>
      <c r="F18" s="8" t="s">
        <v>3</v>
      </c>
      <c r="G18" s="1"/>
    </row>
    <row r="19" spans="1:7" ht="15" customHeight="1" x14ac:dyDescent="0.25">
      <c r="A19" s="1"/>
      <c r="B19" s="89" t="s">
        <v>27</v>
      </c>
      <c r="C19" s="90"/>
      <c r="D19" s="91"/>
      <c r="E19" s="9">
        <f>-'Fane 4.2. Gen. krav - anlæg'!G31</f>
        <v>-847639.81644980365</v>
      </c>
      <c r="F19" s="8" t="s">
        <v>3</v>
      </c>
      <c r="G19" s="1"/>
    </row>
    <row r="20" spans="1:7" ht="15" customHeight="1" x14ac:dyDescent="0.25">
      <c r="A20" s="1"/>
      <c r="B20" s="57" t="s">
        <v>22</v>
      </c>
      <c r="C20" s="58"/>
      <c r="D20" s="64"/>
      <c r="E20" s="10">
        <f>SUM(E9:E19)</f>
        <v>49051766.943914644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96" t="s">
        <v>13</v>
      </c>
      <c r="C22" s="97"/>
      <c r="D22" s="98"/>
      <c r="E22" s="10">
        <v>3368669.1950475601</v>
      </c>
      <c r="F22" s="11" t="s">
        <v>3</v>
      </c>
      <c r="G22" s="1"/>
    </row>
    <row r="23" spans="1:7" ht="15" customHeight="1" x14ac:dyDescent="0.25">
      <c r="A23" s="1"/>
      <c r="B23" s="99" t="s">
        <v>94</v>
      </c>
      <c r="C23" s="100"/>
      <c r="D23" s="101"/>
      <c r="E23" s="32"/>
      <c r="F23" s="32"/>
      <c r="G23" s="1"/>
    </row>
    <row r="24" spans="1:7" ht="15" customHeight="1" x14ac:dyDescent="0.25">
      <c r="A24" s="1"/>
      <c r="B24" s="57" t="s">
        <v>94</v>
      </c>
      <c r="C24" s="43"/>
      <c r="D24" s="44"/>
      <c r="E24" s="10">
        <v>0</v>
      </c>
      <c r="F24" s="11" t="s">
        <v>3</v>
      </c>
      <c r="G24" s="1"/>
    </row>
    <row r="25" spans="1:7" x14ac:dyDescent="0.2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25">
      <c r="A26" s="1"/>
      <c r="B26" s="93" t="s">
        <v>89</v>
      </c>
      <c r="C26" s="94"/>
      <c r="D26" s="95"/>
      <c r="E26" s="9">
        <v>0</v>
      </c>
      <c r="F26" s="8" t="s">
        <v>3</v>
      </c>
      <c r="G26" s="1"/>
    </row>
    <row r="27" spans="1:7" ht="15" customHeight="1" x14ac:dyDescent="0.25">
      <c r="A27" s="1"/>
      <c r="B27" s="93" t="s">
        <v>90</v>
      </c>
      <c r="C27" s="94"/>
      <c r="D27" s="94"/>
      <c r="E27" s="9">
        <v>0</v>
      </c>
      <c r="F27" s="8" t="s">
        <v>3</v>
      </c>
      <c r="G27" s="1"/>
    </row>
    <row r="28" spans="1:7" ht="15" customHeight="1" x14ac:dyDescent="0.25">
      <c r="A28" s="1"/>
      <c r="B28" s="102" t="s">
        <v>95</v>
      </c>
      <c r="C28" s="103"/>
      <c r="D28" s="103"/>
      <c r="E28" s="45">
        <v>0</v>
      </c>
      <c r="F28" s="11" t="s">
        <v>3</v>
      </c>
      <c r="G28" s="1"/>
    </row>
    <row r="29" spans="1:7" ht="15" customHeight="1" x14ac:dyDescent="0.2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25">
      <c r="A30" s="1"/>
      <c r="B30" s="96" t="s">
        <v>185</v>
      </c>
      <c r="C30" s="97"/>
      <c r="D30" s="97"/>
      <c r="E30" s="45">
        <v>-611408.20418944582</v>
      </c>
      <c r="F30" s="11" t="s">
        <v>3</v>
      </c>
      <c r="G30" s="1"/>
    </row>
    <row r="31" spans="1:7" x14ac:dyDescent="0.25">
      <c r="A31" s="1"/>
      <c r="B31" s="38" t="s">
        <v>148</v>
      </c>
      <c r="C31" s="32"/>
      <c r="D31" s="32"/>
      <c r="E31" s="32"/>
      <c r="F31" s="32"/>
      <c r="G31" s="1"/>
    </row>
    <row r="32" spans="1:7" ht="15.4" customHeight="1" x14ac:dyDescent="0.25">
      <c r="A32" s="1"/>
      <c r="B32" s="96" t="s">
        <v>148</v>
      </c>
      <c r="C32" s="97"/>
      <c r="D32" s="98"/>
      <c r="E32" s="10">
        <v>294527</v>
      </c>
      <c r="F32" s="11" t="s">
        <v>3</v>
      </c>
      <c r="G32" s="1"/>
    </row>
    <row r="33" spans="1:7" x14ac:dyDescent="0.25">
      <c r="A33" s="1"/>
      <c r="B33" s="38" t="s">
        <v>251</v>
      </c>
      <c r="C33" s="32"/>
      <c r="D33" s="20"/>
      <c r="E33" s="12">
        <f>SUM(E32,E30,E28,E24,E22,E20)</f>
        <v>52103554.93477276</v>
      </c>
      <c r="F33" s="13" t="s">
        <v>3</v>
      </c>
      <c r="G33" s="1"/>
    </row>
    <row r="34" spans="1:7" ht="27" customHeight="1" x14ac:dyDescent="0.25">
      <c r="A34" s="1"/>
      <c r="B34" s="89" t="s">
        <v>252</v>
      </c>
      <c r="C34" s="90"/>
      <c r="D34" s="90"/>
      <c r="E34" s="90"/>
      <c r="F34" s="9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FwAlIOOpGvJ93Gnju4khJHUDIqDNZH4Vga9ern2GiNUD3LfTh9PkHe/4LoFGULadyiPuxcFEHnXuDbCCLDSZ8g==" saltValue="wB/UgvZAf8Z6e0SZbdWuxA==" spinCount="100000" sheet="1" objects="1" scenarios="1"/>
  <mergeCells count="20">
    <mergeCell ref="B26:D26"/>
    <mergeCell ref="B32:D32"/>
    <mergeCell ref="B22:D22"/>
    <mergeCell ref="B23:D23"/>
    <mergeCell ref="B34:F34"/>
    <mergeCell ref="B27:D27"/>
    <mergeCell ref="B28:D28"/>
    <mergeCell ref="B30:D30"/>
    <mergeCell ref="B3:F4"/>
    <mergeCell ref="B9:D9"/>
    <mergeCell ref="B10:D10"/>
    <mergeCell ref="B11:D11"/>
    <mergeCell ref="B12:D12"/>
    <mergeCell ref="B18:D18"/>
    <mergeCell ref="B19:D19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4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2"/>
      <c r="C1" s="42"/>
      <c r="D1" s="42"/>
      <c r="E1" s="42"/>
      <c r="F1" s="42"/>
      <c r="G1" s="42"/>
      <c r="H1" s="42"/>
      <c r="I1" s="1"/>
    </row>
    <row r="2" spans="1:9" ht="15" customHeight="1" x14ac:dyDescent="0.25">
      <c r="A2" s="1"/>
      <c r="B2" s="92" t="s">
        <v>130</v>
      </c>
      <c r="C2" s="92"/>
      <c r="D2" s="92"/>
      <c r="E2" s="92"/>
      <c r="F2" s="92"/>
      <c r="G2" s="92"/>
      <c r="H2" s="92"/>
      <c r="I2" s="1"/>
    </row>
    <row r="3" spans="1:9" ht="28.5" customHeight="1" x14ac:dyDescent="0.25">
      <c r="A3" s="1"/>
      <c r="B3" s="92"/>
      <c r="C3" s="92"/>
      <c r="D3" s="92"/>
      <c r="E3" s="92"/>
      <c r="F3" s="92"/>
      <c r="G3" s="92"/>
      <c r="H3" s="92"/>
      <c r="I3" s="1"/>
    </row>
    <row r="4" spans="1:9" ht="14.25" customHeight="1" x14ac:dyDescent="0.25">
      <c r="A4" s="1"/>
      <c r="B4" s="42"/>
      <c r="C4" s="42"/>
      <c r="D4" s="42"/>
      <c r="E4" s="42"/>
      <c r="F4" s="42"/>
      <c r="G4" s="42"/>
      <c r="H4" s="42"/>
      <c r="I4" s="1"/>
    </row>
    <row r="5" spans="1:9" x14ac:dyDescent="0.25">
      <c r="A5" s="1"/>
      <c r="B5" s="99" t="s">
        <v>56</v>
      </c>
      <c r="C5" s="100"/>
      <c r="D5" s="100"/>
      <c r="E5" s="100"/>
      <c r="F5" s="100"/>
      <c r="G5" s="100"/>
      <c r="H5" s="101"/>
      <c r="I5" s="1"/>
    </row>
    <row r="6" spans="1:9" x14ac:dyDescent="0.25">
      <c r="A6" s="1"/>
      <c r="B6" s="104" t="s">
        <v>45</v>
      </c>
      <c r="C6" s="105"/>
      <c r="D6" s="105"/>
      <c r="E6" s="105"/>
      <c r="F6" s="106"/>
      <c r="G6" s="24">
        <v>22780795</v>
      </c>
      <c r="H6" s="14" t="s">
        <v>3</v>
      </c>
      <c r="I6" s="1"/>
    </row>
    <row r="7" spans="1:9" x14ac:dyDescent="0.25">
      <c r="A7" s="1"/>
      <c r="B7" s="89" t="s">
        <v>145</v>
      </c>
      <c r="C7" s="90"/>
      <c r="D7" s="90"/>
      <c r="E7" s="90"/>
      <c r="F7" s="91"/>
      <c r="G7" s="68">
        <v>0</v>
      </c>
      <c r="H7" s="14" t="s">
        <v>3</v>
      </c>
      <c r="I7" s="1"/>
    </row>
    <row r="8" spans="1:9" x14ac:dyDescent="0.25">
      <c r="A8" s="1"/>
      <c r="B8" s="104" t="s">
        <v>46</v>
      </c>
      <c r="C8" s="105"/>
      <c r="D8" s="105"/>
      <c r="E8" s="105"/>
      <c r="F8" s="106"/>
      <c r="G8" s="24">
        <f>SUM(G6:G7)*'Fane 14. Nøgletal'!C29</f>
        <v>455615.9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9" t="s">
        <v>57</v>
      </c>
      <c r="C11" s="100"/>
      <c r="D11" s="100"/>
      <c r="E11" s="100"/>
      <c r="F11" s="100"/>
      <c r="G11" s="100"/>
      <c r="H11" s="101"/>
      <c r="I11" s="1"/>
    </row>
    <row r="12" spans="1:9" x14ac:dyDescent="0.25">
      <c r="A12" s="1"/>
      <c r="B12" s="104" t="s">
        <v>47</v>
      </c>
      <c r="C12" s="105"/>
      <c r="D12" s="105"/>
      <c r="E12" s="105"/>
      <c r="F12" s="106"/>
      <c r="G12" s="24">
        <f>(G6-G8)*(1+'Fane 14. Nøgletal'!C10)</f>
        <v>22715869.734250002</v>
      </c>
      <c r="H12" s="14" t="s">
        <v>3</v>
      </c>
      <c r="I12" s="1"/>
    </row>
    <row r="13" spans="1:9" ht="15" customHeight="1" x14ac:dyDescent="0.25">
      <c r="A13" s="1"/>
      <c r="B13" s="104" t="s">
        <v>146</v>
      </c>
      <c r="C13" s="105"/>
      <c r="D13" s="105"/>
      <c r="E13" s="105"/>
      <c r="F13" s="106"/>
      <c r="G13" s="24">
        <v>-205301.79311788661</v>
      </c>
      <c r="H13" s="14" t="s">
        <v>3</v>
      </c>
      <c r="I13" s="1"/>
    </row>
    <row r="14" spans="1:9" x14ac:dyDescent="0.25">
      <c r="A14" s="1"/>
      <c r="B14" s="89" t="s">
        <v>143</v>
      </c>
      <c r="C14" s="90"/>
      <c r="D14" s="90"/>
      <c r="E14" s="90"/>
      <c r="F14" s="91"/>
      <c r="G14" s="68">
        <v>0</v>
      </c>
      <c r="H14" s="14" t="s">
        <v>3</v>
      </c>
      <c r="I14" s="1"/>
    </row>
    <row r="15" spans="1:9" x14ac:dyDescent="0.25">
      <c r="A15" s="1"/>
      <c r="B15" s="110" t="s">
        <v>48</v>
      </c>
      <c r="C15" s="111"/>
      <c r="D15" s="111"/>
      <c r="E15" s="111"/>
      <c r="F15" s="112"/>
      <c r="G15" s="68">
        <v>0</v>
      </c>
      <c r="H15" s="14" t="s">
        <v>3</v>
      </c>
      <c r="I15" s="1"/>
    </row>
    <row r="16" spans="1:9" x14ac:dyDescent="0.25">
      <c r="A16" s="1"/>
      <c r="B16" s="104" t="s">
        <v>49</v>
      </c>
      <c r="C16" s="105"/>
      <c r="D16" s="105"/>
      <c r="E16" s="105"/>
      <c r="F16" s="106"/>
      <c r="G16" s="24">
        <f>SUM(G12:G15)*'Fane 14. Nøgletal'!C29</f>
        <v>450211.3588226423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9" t="s">
        <v>58</v>
      </c>
      <c r="C19" s="100"/>
      <c r="D19" s="100"/>
      <c r="E19" s="100"/>
      <c r="F19" s="100"/>
      <c r="G19" s="100"/>
      <c r="H19" s="101"/>
      <c r="I19" s="1"/>
    </row>
    <row r="20" spans="1:9" x14ac:dyDescent="0.25">
      <c r="A20" s="1"/>
      <c r="B20" s="104" t="s">
        <v>50</v>
      </c>
      <c r="C20" s="105"/>
      <c r="D20" s="105"/>
      <c r="E20" s="105"/>
      <c r="F20" s="106"/>
      <c r="G20" s="24">
        <f>(SUM(G12:G13,G15)-(G16))*(1+'Fane 14. Nøgletal'!C10)</f>
        <v>22446412.822499886</v>
      </c>
      <c r="H20" s="14" t="s">
        <v>3</v>
      </c>
      <c r="I20" s="1"/>
    </row>
    <row r="21" spans="1:9" x14ac:dyDescent="0.25">
      <c r="A21" s="1"/>
      <c r="B21" s="110" t="s">
        <v>51</v>
      </c>
      <c r="C21" s="111"/>
      <c r="D21" s="111"/>
      <c r="E21" s="111"/>
      <c r="F21" s="112"/>
      <c r="G21" s="68">
        <v>0</v>
      </c>
      <c r="H21" s="14" t="s">
        <v>3</v>
      </c>
      <c r="I21" s="1"/>
    </row>
    <row r="22" spans="1:9" x14ac:dyDescent="0.25">
      <c r="A22" s="1"/>
      <c r="B22" s="104" t="s">
        <v>52</v>
      </c>
      <c r="C22" s="105"/>
      <c r="D22" s="105"/>
      <c r="E22" s="105"/>
      <c r="F22" s="106"/>
      <c r="G22" s="24">
        <f>SUM(G20:G21)*'Fane 14. Nøgletal'!C29</f>
        <v>448928.25644999772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9" t="s">
        <v>59</v>
      </c>
      <c r="C25" s="100"/>
      <c r="D25" s="100"/>
      <c r="E25" s="100"/>
      <c r="F25" s="100"/>
      <c r="G25" s="100"/>
      <c r="H25" s="101"/>
      <c r="I25" s="1"/>
    </row>
    <row r="26" spans="1:9" x14ac:dyDescent="0.25">
      <c r="A26" s="1"/>
      <c r="B26" s="104" t="s">
        <v>53</v>
      </c>
      <c r="C26" s="105"/>
      <c r="D26" s="105"/>
      <c r="E26" s="105"/>
      <c r="F26" s="106"/>
      <c r="G26" s="24">
        <f>(G20+G21-G22)*(1+'Fane 14. Nøgletal'!C12)</f>
        <v>22430835.012001071</v>
      </c>
      <c r="H26" s="14" t="s">
        <v>3</v>
      </c>
      <c r="I26" s="1"/>
    </row>
    <row r="27" spans="1:9" x14ac:dyDescent="0.25">
      <c r="A27" s="1"/>
      <c r="B27" s="110" t="s">
        <v>54</v>
      </c>
      <c r="C27" s="111"/>
      <c r="D27" s="111"/>
      <c r="E27" s="111"/>
      <c r="F27" s="112"/>
      <c r="G27" s="68">
        <v>0</v>
      </c>
      <c r="H27" s="14" t="s">
        <v>3</v>
      </c>
      <c r="I27" s="1"/>
    </row>
    <row r="28" spans="1:9" x14ac:dyDescent="0.25">
      <c r="A28" s="1"/>
      <c r="B28" s="104" t="s">
        <v>55</v>
      </c>
      <c r="C28" s="105"/>
      <c r="D28" s="105"/>
      <c r="E28" s="105"/>
      <c r="F28" s="106"/>
      <c r="G28" s="24">
        <f>(G26+G27)*'Fane 14. Nøgletal'!C29</f>
        <v>448616.70024002146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9" t="s">
        <v>62</v>
      </c>
      <c r="C31" s="100"/>
      <c r="D31" s="100"/>
      <c r="E31" s="100"/>
      <c r="F31" s="100"/>
      <c r="G31" s="100"/>
      <c r="H31" s="101"/>
      <c r="I31" s="1"/>
    </row>
    <row r="32" spans="1:9" x14ac:dyDescent="0.25">
      <c r="A32" s="1"/>
      <c r="B32" s="104" t="s">
        <v>63</v>
      </c>
      <c r="C32" s="105"/>
      <c r="D32" s="105"/>
      <c r="E32" s="105"/>
      <c r="F32" s="106"/>
      <c r="G32" s="24">
        <f>(G26+G27-G28)*(1+'Fane 14. Nøgletal'!C12)</f>
        <v>22415268.012502745</v>
      </c>
      <c r="H32" s="14" t="s">
        <v>3</v>
      </c>
      <c r="I32" s="1"/>
    </row>
    <row r="33" spans="1:9" x14ac:dyDescent="0.25">
      <c r="A33" s="1"/>
      <c r="B33" s="104" t="s">
        <v>171</v>
      </c>
      <c r="C33" s="105"/>
      <c r="D33" s="105"/>
      <c r="E33" s="105"/>
      <c r="F33" s="106"/>
      <c r="G33" s="68">
        <v>0</v>
      </c>
      <c r="H33" s="14" t="s">
        <v>3</v>
      </c>
      <c r="I33" s="1"/>
    </row>
    <row r="34" spans="1:9" x14ac:dyDescent="0.25">
      <c r="A34" s="1"/>
      <c r="B34" s="104" t="s">
        <v>64</v>
      </c>
      <c r="C34" s="105"/>
      <c r="D34" s="105"/>
      <c r="E34" s="105"/>
      <c r="F34" s="106"/>
      <c r="G34" s="24">
        <f>(G32+G33)*'Fane 14. Nøgletal'!C29</f>
        <v>448305.36025005492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9" t="s">
        <v>232</v>
      </c>
      <c r="C37" s="100"/>
      <c r="D37" s="100"/>
      <c r="E37" s="100"/>
      <c r="F37" s="100"/>
      <c r="G37" s="100"/>
      <c r="H37" s="101"/>
      <c r="I37" s="1"/>
    </row>
    <row r="38" spans="1:9" x14ac:dyDescent="0.25">
      <c r="A38" s="1"/>
      <c r="B38" s="104" t="s">
        <v>84</v>
      </c>
      <c r="C38" s="105"/>
      <c r="D38" s="105"/>
      <c r="E38" s="105"/>
      <c r="F38" s="106"/>
      <c r="G38" s="24">
        <f>(G32+G33-G34)*(1+'Fane 14. Nøgletal'!C14)</f>
        <v>22039453.629005123</v>
      </c>
      <c r="H38" s="14" t="s">
        <v>3</v>
      </c>
      <c r="I38" s="1"/>
    </row>
    <row r="39" spans="1:9" x14ac:dyDescent="0.25">
      <c r="A39" s="1"/>
      <c r="B39" s="104" t="s">
        <v>236</v>
      </c>
      <c r="C39" s="105"/>
      <c r="D39" s="105"/>
      <c r="E39" s="105"/>
      <c r="F39" s="106"/>
      <c r="G39" s="24">
        <f>SUM('Fane 2.1. Økonomisk ramme 2022'!C10,'Fane 2.1. Økonomisk ramme 2022'!C12,'Fane 2.1. Økonomisk ramme 2022'!C14)*(1+'Fane 14. Nøgletal'!C14)</f>
        <v>59044.774974730011</v>
      </c>
      <c r="H39" s="14" t="s">
        <v>3</v>
      </c>
      <c r="I39" s="1"/>
    </row>
    <row r="40" spans="1:9" x14ac:dyDescent="0.25">
      <c r="A40" s="1"/>
      <c r="B40" s="104" t="s">
        <v>234</v>
      </c>
      <c r="C40" s="105"/>
      <c r="D40" s="105"/>
      <c r="E40" s="105"/>
      <c r="F40" s="106"/>
      <c r="G40" s="24">
        <f>(G38+G39)*'Fane 14. Nøgletal'!C29</f>
        <v>441969.96807959705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9" t="s">
        <v>233</v>
      </c>
      <c r="C43" s="100"/>
      <c r="D43" s="100"/>
      <c r="E43" s="100"/>
      <c r="F43" s="100"/>
      <c r="G43" s="100"/>
      <c r="H43" s="101"/>
      <c r="I43" s="1"/>
    </row>
    <row r="44" spans="1:9" x14ac:dyDescent="0.25">
      <c r="A44" s="1"/>
      <c r="B44" s="104" t="s">
        <v>83</v>
      </c>
      <c r="C44" s="105"/>
      <c r="D44" s="105"/>
      <c r="E44" s="105"/>
      <c r="F44" s="106"/>
      <c r="G44" s="24">
        <f>(G38+G39-G40)*(1+'Fane 14. Nøgletal'!C14)</f>
        <v>21727994.979738727</v>
      </c>
      <c r="H44" s="14" t="s">
        <v>3</v>
      </c>
      <c r="I44" s="1"/>
    </row>
    <row r="45" spans="1:9" x14ac:dyDescent="0.25">
      <c r="A45" s="1"/>
      <c r="B45" s="107" t="s">
        <v>237</v>
      </c>
      <c r="C45" s="108"/>
      <c r="D45" s="108"/>
      <c r="E45" s="108"/>
      <c r="F45" s="109"/>
      <c r="G45" s="24">
        <f>G39*(1+'Fane 14. Nøgletal'!C14)</f>
        <v>59239.622732146629</v>
      </c>
      <c r="H45" s="14" t="s">
        <v>3</v>
      </c>
      <c r="I45" s="1"/>
    </row>
    <row r="46" spans="1:9" x14ac:dyDescent="0.25">
      <c r="A46" s="1"/>
      <c r="B46" s="104" t="s">
        <v>97</v>
      </c>
      <c r="C46" s="105"/>
      <c r="D46" s="105"/>
      <c r="E46" s="105"/>
      <c r="F46" s="106"/>
      <c r="G46" s="68">
        <f>-'Fane 13. Bortfald'!C18*(1+'Fane 14. Nøgletal'!C14)</f>
        <v>0</v>
      </c>
      <c r="H46" s="14" t="s">
        <v>3</v>
      </c>
      <c r="I46" s="1"/>
    </row>
    <row r="47" spans="1:9" x14ac:dyDescent="0.25">
      <c r="A47" s="1"/>
      <c r="B47" s="104" t="s">
        <v>235</v>
      </c>
      <c r="C47" s="105"/>
      <c r="D47" s="105"/>
      <c r="E47" s="105"/>
      <c r="F47" s="106"/>
      <c r="G47" s="24">
        <f>(G44+G46)*'Fane 14. Nøgletal'!C29</f>
        <v>434559.89959477453</v>
      </c>
      <c r="H47" s="14" t="s">
        <v>3</v>
      </c>
      <c r="I47" s="1"/>
    </row>
    <row r="48" spans="1:9" x14ac:dyDescent="0.25">
      <c r="A48" s="1"/>
      <c r="B48" s="38"/>
      <c r="C48" s="32"/>
      <c r="D48" s="32"/>
      <c r="E48" s="32"/>
      <c r="F48" s="32"/>
      <c r="G48" s="32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9" t="s">
        <v>172</v>
      </c>
      <c r="C52" s="100"/>
      <c r="D52" s="100"/>
      <c r="E52" s="100"/>
      <c r="F52" s="100"/>
      <c r="G52" s="100"/>
      <c r="H52" s="101"/>
      <c r="I52" s="1"/>
    </row>
    <row r="53" spans="1:9" x14ac:dyDescent="0.25">
      <c r="A53" s="1"/>
      <c r="B53" s="104" t="s">
        <v>173</v>
      </c>
      <c r="C53" s="105"/>
      <c r="D53" s="105"/>
      <c r="E53" s="105"/>
      <c r="F53" s="106"/>
      <c r="G53" s="24">
        <f>(G44+G46-G47)*(1+'Fane 14. Nøgletal'!C14)</f>
        <v>21363703.415908426</v>
      </c>
      <c r="H53" s="14" t="s">
        <v>3</v>
      </c>
      <c r="I53" s="1"/>
    </row>
    <row r="54" spans="1:9" x14ac:dyDescent="0.25">
      <c r="A54" s="1"/>
      <c r="B54" s="104" t="s">
        <v>174</v>
      </c>
      <c r="C54" s="105"/>
      <c r="D54" s="105"/>
      <c r="E54" s="105"/>
      <c r="F54" s="106"/>
      <c r="G54" s="68">
        <f>-'Fane 13. Bortfald'!C24*(1+'Fane 14. Nøgletal'!C14)</f>
        <v>0</v>
      </c>
      <c r="H54" s="14" t="s">
        <v>3</v>
      </c>
      <c r="I54" s="1"/>
    </row>
    <row r="55" spans="1:9" x14ac:dyDescent="0.25">
      <c r="A55" s="1"/>
      <c r="B55" s="104" t="s">
        <v>175</v>
      </c>
      <c r="C55" s="105"/>
      <c r="D55" s="105"/>
      <c r="E55" s="105"/>
      <c r="F55" s="106"/>
      <c r="G55" s="24">
        <f>(G53+G54)*'Fane 14. Nøgletal'!C29</f>
        <v>427274.06831816852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54" t="s">
        <v>201</v>
      </c>
      <c r="C58" s="55"/>
      <c r="D58" s="55"/>
      <c r="E58" s="55"/>
      <c r="F58" s="55"/>
      <c r="G58" s="55"/>
      <c r="H58" s="56"/>
      <c r="I58" s="1"/>
    </row>
    <row r="59" spans="1:9" x14ac:dyDescent="0.25">
      <c r="A59" s="1"/>
      <c r="B59" s="59" t="s">
        <v>202</v>
      </c>
      <c r="C59" s="60"/>
      <c r="D59" s="60"/>
      <c r="E59" s="60"/>
      <c r="F59" s="61"/>
      <c r="G59" s="24">
        <f>(G53+G54-G55)*(1+'Fane 14. Nøgletal'!C14)</f>
        <v>21005519.564437307</v>
      </c>
      <c r="H59" s="14" t="s">
        <v>3</v>
      </c>
      <c r="I59" s="1"/>
    </row>
    <row r="60" spans="1:9" x14ac:dyDescent="0.25">
      <c r="A60" s="1"/>
      <c r="B60" s="59" t="s">
        <v>203</v>
      </c>
      <c r="C60" s="60"/>
      <c r="D60" s="60"/>
      <c r="E60" s="60"/>
      <c r="F60" s="61"/>
      <c r="G60" s="68">
        <f>-'Fane 13. Bortfald'!C30*(1+'Fane 14. Nøgletal'!C14)</f>
        <v>0</v>
      </c>
      <c r="H60" s="14" t="s">
        <v>3</v>
      </c>
      <c r="I60" s="1"/>
    </row>
    <row r="61" spans="1:9" x14ac:dyDescent="0.25">
      <c r="A61" s="1"/>
      <c r="B61" s="59" t="s">
        <v>204</v>
      </c>
      <c r="C61" s="60"/>
      <c r="D61" s="60"/>
      <c r="E61" s="60"/>
      <c r="F61" s="61"/>
      <c r="G61" s="24">
        <f>(G59+G60)*'Fane 14. Nøgletal'!C29</f>
        <v>420110.39128874615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WCMHoqKTSQmo1PoFxsNSM6J4qiR3EuDTGugTOTnpWT/vPocyHDVbZv+n21eb7TRsQI514giMs/N924giJTJ7Mg==" saltValue="oJbCgL7Ymdu8P0TbKKqecA==" spinCount="100000" sheet="1" objects="1" scenarios="1"/>
  <mergeCells count="36">
    <mergeCell ref="B12:F12"/>
    <mergeCell ref="B11:H11"/>
    <mergeCell ref="B7:F7"/>
    <mergeCell ref="B2:H3"/>
    <mergeCell ref="B25:H25"/>
    <mergeCell ref="B5:H5"/>
    <mergeCell ref="B6:F6"/>
    <mergeCell ref="B8:F8"/>
    <mergeCell ref="B55:F55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52:H52"/>
    <mergeCell ref="B53:F53"/>
    <mergeCell ref="B54:F54"/>
    <mergeCell ref="B33:F33"/>
    <mergeCell ref="B34:F34"/>
    <mergeCell ref="B43:H43"/>
    <mergeCell ref="B44:F44"/>
    <mergeCell ref="B47:F47"/>
    <mergeCell ref="B39:F39"/>
    <mergeCell ref="B46:F46"/>
    <mergeCell ref="B40:F40"/>
    <mergeCell ref="B45:F4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113" t="s">
        <v>131</v>
      </c>
      <c r="C1" s="113"/>
      <c r="D1" s="113"/>
      <c r="E1" s="113"/>
      <c r="F1" s="113"/>
      <c r="G1" s="113"/>
      <c r="H1" s="113"/>
      <c r="I1" s="1"/>
    </row>
    <row r="2" spans="1:9" ht="15" customHeight="1" x14ac:dyDescent="0.25">
      <c r="A2" s="1"/>
      <c r="B2" s="113"/>
      <c r="C2" s="113"/>
      <c r="D2" s="113"/>
      <c r="E2" s="113"/>
      <c r="F2" s="113"/>
      <c r="G2" s="113"/>
      <c r="H2" s="113"/>
      <c r="I2" s="1"/>
    </row>
    <row r="3" spans="1:9" ht="15" customHeight="1" x14ac:dyDescent="0.25">
      <c r="A3" s="1"/>
      <c r="B3" s="114"/>
      <c r="C3" s="114"/>
      <c r="D3" s="114"/>
      <c r="E3" s="114"/>
      <c r="F3" s="114"/>
      <c r="G3" s="114"/>
      <c r="H3" s="114"/>
      <c r="I3" s="1"/>
    </row>
    <row r="4" spans="1:9" x14ac:dyDescent="0.25">
      <c r="A4" s="1"/>
      <c r="B4" s="99" t="s">
        <v>60</v>
      </c>
      <c r="C4" s="100"/>
      <c r="D4" s="100"/>
      <c r="E4" s="100"/>
      <c r="F4" s="100"/>
      <c r="G4" s="100"/>
      <c r="H4" s="101"/>
      <c r="I4" s="1"/>
    </row>
    <row r="5" spans="1:9" x14ac:dyDescent="0.25">
      <c r="A5" s="1"/>
      <c r="B5" s="104" t="s">
        <v>65</v>
      </c>
      <c r="C5" s="105"/>
      <c r="D5" s="105"/>
      <c r="E5" s="105"/>
      <c r="F5" s="106"/>
      <c r="G5" s="24">
        <v>29936623</v>
      </c>
      <c r="H5" s="14" t="s">
        <v>3</v>
      </c>
      <c r="I5" s="1"/>
    </row>
    <row r="6" spans="1:9" x14ac:dyDescent="0.25">
      <c r="A6" s="1"/>
      <c r="B6" s="104" t="s">
        <v>61</v>
      </c>
      <c r="C6" s="105"/>
      <c r="D6" s="105"/>
      <c r="E6" s="105"/>
      <c r="F6" s="106"/>
      <c r="G6" s="24">
        <f>G5*'Fane 14. Nøgletal'!C19</f>
        <v>272423.26929999999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9" t="s">
        <v>66</v>
      </c>
      <c r="C9" s="100"/>
      <c r="D9" s="100"/>
      <c r="E9" s="100"/>
      <c r="F9" s="100"/>
      <c r="G9" s="100"/>
      <c r="H9" s="101"/>
      <c r="I9" s="1"/>
    </row>
    <row r="10" spans="1:9" x14ac:dyDescent="0.25">
      <c r="A10" s="1"/>
      <c r="B10" s="104" t="s">
        <v>67</v>
      </c>
      <c r="C10" s="105"/>
      <c r="D10" s="105"/>
      <c r="E10" s="105"/>
      <c r="F10" s="106"/>
      <c r="G10" s="24">
        <f>(G5-G6)*(1+'Fane 14. Nøgletal'!C10)</f>
        <v>30183323.225987252</v>
      </c>
      <c r="H10" s="14" t="s">
        <v>3</v>
      </c>
      <c r="I10" s="1"/>
    </row>
    <row r="11" spans="1:9" x14ac:dyDescent="0.25">
      <c r="A11" s="1"/>
      <c r="B11" s="104" t="s">
        <v>147</v>
      </c>
      <c r="C11" s="105"/>
      <c r="D11" s="105"/>
      <c r="E11" s="105"/>
      <c r="F11" s="106"/>
      <c r="G11" s="24">
        <v>-172313.04415608078</v>
      </c>
      <c r="H11" s="14" t="s">
        <v>3</v>
      </c>
      <c r="I11" s="1"/>
    </row>
    <row r="12" spans="1:9" x14ac:dyDescent="0.25">
      <c r="A12" s="1"/>
      <c r="B12" s="110" t="s">
        <v>68</v>
      </c>
      <c r="C12" s="111"/>
      <c r="D12" s="111"/>
      <c r="E12" s="111"/>
      <c r="F12" s="112"/>
      <c r="G12" s="68">
        <v>0</v>
      </c>
      <c r="H12" s="14" t="s">
        <v>3</v>
      </c>
      <c r="I12" s="1"/>
    </row>
    <row r="13" spans="1:9" x14ac:dyDescent="0.25">
      <c r="A13" s="1"/>
      <c r="B13" s="104" t="s">
        <v>69</v>
      </c>
      <c r="C13" s="105"/>
      <c r="D13" s="105"/>
      <c r="E13" s="105"/>
      <c r="F13" s="106"/>
      <c r="G13" s="24">
        <f>SUM(G10:G12)*'Fane 14. Nøgletal'!C20</f>
        <v>531194.88021841168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9" t="s">
        <v>70</v>
      </c>
      <c r="C16" s="100"/>
      <c r="D16" s="100"/>
      <c r="E16" s="100"/>
      <c r="F16" s="100"/>
      <c r="G16" s="100"/>
      <c r="H16" s="101"/>
      <c r="I16" s="1"/>
    </row>
    <row r="17" spans="1:9" x14ac:dyDescent="0.25">
      <c r="A17" s="1"/>
      <c r="B17" s="104" t="s">
        <v>71</v>
      </c>
      <c r="C17" s="105"/>
      <c r="D17" s="105"/>
      <c r="E17" s="105"/>
      <c r="F17" s="106"/>
      <c r="G17" s="24">
        <f>(SUM(G10:G12)-G13)*(1+'Fane 14. Nøgletal'!C10)</f>
        <v>29995712.069390982</v>
      </c>
      <c r="H17" s="14" t="s">
        <v>3</v>
      </c>
      <c r="I17" s="1"/>
    </row>
    <row r="18" spans="1:9" x14ac:dyDescent="0.25">
      <c r="A18" s="1"/>
      <c r="B18" s="110" t="s">
        <v>72</v>
      </c>
      <c r="C18" s="111"/>
      <c r="D18" s="111"/>
      <c r="E18" s="111"/>
      <c r="F18" s="112"/>
      <c r="G18" s="24">
        <v>33406.13563104999</v>
      </c>
      <c r="H18" s="14" t="s">
        <v>3</v>
      </c>
      <c r="I18" s="1"/>
    </row>
    <row r="19" spans="1:9" x14ac:dyDescent="0.25">
      <c r="A19" s="1"/>
      <c r="B19" s="104" t="s">
        <v>73</v>
      </c>
      <c r="C19" s="105"/>
      <c r="D19" s="105"/>
      <c r="E19" s="105"/>
      <c r="F19" s="106"/>
      <c r="G19" s="24">
        <f>G17*'Fane 14. Nøgletal'!C20+G18*'Fane 14. Nøgletal'!C21</f>
        <v>531214.7370082105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9" t="s">
        <v>74</v>
      </c>
      <c r="C22" s="100"/>
      <c r="D22" s="100"/>
      <c r="E22" s="100"/>
      <c r="F22" s="100"/>
      <c r="G22" s="100"/>
      <c r="H22" s="101"/>
      <c r="I22" s="1"/>
    </row>
    <row r="23" spans="1:9" x14ac:dyDescent="0.25">
      <c r="A23" s="1"/>
      <c r="B23" s="104" t="s">
        <v>75</v>
      </c>
      <c r="C23" s="105"/>
      <c r="D23" s="105"/>
      <c r="E23" s="105"/>
      <c r="F23" s="106"/>
      <c r="G23" s="24">
        <f>(G17+G18-G19)*(1+'Fane 14. Nøgletal'!C12)</f>
        <v>30079012.166333698</v>
      </c>
      <c r="H23" s="14" t="s">
        <v>3</v>
      </c>
      <c r="I23" s="1"/>
    </row>
    <row r="24" spans="1:9" x14ac:dyDescent="0.25">
      <c r="A24" s="1"/>
      <c r="B24" s="110" t="s">
        <v>76</v>
      </c>
      <c r="C24" s="111"/>
      <c r="D24" s="111"/>
      <c r="E24" s="111"/>
      <c r="F24" s="112"/>
      <c r="G24" s="24">
        <v>46405.950414318002</v>
      </c>
      <c r="H24" s="14" t="s">
        <v>3</v>
      </c>
      <c r="I24" s="1"/>
    </row>
    <row r="25" spans="1:9" x14ac:dyDescent="0.25">
      <c r="A25" s="1"/>
      <c r="B25" s="104" t="s">
        <v>77</v>
      </c>
      <c r="C25" s="105"/>
      <c r="D25" s="105"/>
      <c r="E25" s="105"/>
      <c r="F25" s="106"/>
      <c r="G25" s="24">
        <f>(G23+G24)*'Fane 14. Nøgletal'!C22</f>
        <v>855561.87451564369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9" t="s">
        <v>78</v>
      </c>
      <c r="C28" s="100"/>
      <c r="D28" s="100"/>
      <c r="E28" s="100"/>
      <c r="F28" s="100"/>
      <c r="G28" s="100"/>
      <c r="H28" s="101"/>
      <c r="I28" s="1"/>
    </row>
    <row r="29" spans="1:9" x14ac:dyDescent="0.25">
      <c r="A29" s="1"/>
      <c r="B29" s="104" t="s">
        <v>79</v>
      </c>
      <c r="C29" s="105"/>
      <c r="D29" s="105"/>
      <c r="E29" s="105"/>
      <c r="F29" s="106"/>
      <c r="G29" s="24">
        <f>(G23+G24-G25)*(1+'Fane 14. Nøgletal'!C12)</f>
        <v>29846472.410204351</v>
      </c>
      <c r="H29" s="14" t="s">
        <v>3</v>
      </c>
      <c r="I29" s="1"/>
    </row>
    <row r="30" spans="1:9" x14ac:dyDescent="0.25">
      <c r="A30" s="1"/>
      <c r="B30" s="104" t="s">
        <v>176</v>
      </c>
      <c r="C30" s="105"/>
      <c r="D30" s="105"/>
      <c r="E30" s="105"/>
      <c r="F30" s="106"/>
      <c r="G30" s="68">
        <v>0</v>
      </c>
      <c r="H30" s="14" t="s">
        <v>3</v>
      </c>
      <c r="I30" s="1"/>
    </row>
    <row r="31" spans="1:9" x14ac:dyDescent="0.25">
      <c r="A31" s="1"/>
      <c r="B31" s="104" t="s">
        <v>80</v>
      </c>
      <c r="C31" s="105"/>
      <c r="D31" s="105"/>
      <c r="E31" s="105"/>
      <c r="F31" s="106"/>
      <c r="G31" s="24">
        <f>G29*'Fane 14. Nøgletal'!C22+G30*'Fane 14. Nøgletal'!C23</f>
        <v>847639.81644980365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9" t="s">
        <v>238</v>
      </c>
      <c r="C34" s="100"/>
      <c r="D34" s="100"/>
      <c r="E34" s="100"/>
      <c r="F34" s="100"/>
      <c r="G34" s="100"/>
      <c r="H34" s="101"/>
      <c r="I34" s="1"/>
    </row>
    <row r="35" spans="1:9" x14ac:dyDescent="0.25">
      <c r="A35" s="1"/>
      <c r="B35" s="104" t="s">
        <v>82</v>
      </c>
      <c r="C35" s="105"/>
      <c r="D35" s="105"/>
      <c r="E35" s="105"/>
      <c r="F35" s="106"/>
      <c r="G35" s="24">
        <f>(G29+G30-G31)*(1+'Fane 14. Nøgletal'!C14)</f>
        <v>29094528.741313942</v>
      </c>
      <c r="H35" s="14" t="s">
        <v>3</v>
      </c>
      <c r="I35" s="1"/>
    </row>
    <row r="36" spans="1:9" x14ac:dyDescent="0.25">
      <c r="A36" s="1"/>
      <c r="B36" s="104" t="s">
        <v>240</v>
      </c>
      <c r="C36" s="105"/>
      <c r="D36" s="105"/>
      <c r="E36" s="105"/>
      <c r="F36" s="106"/>
      <c r="G36" s="24">
        <f>SUM('Fane 2.1. Økonomisk ramme 2022'!C11,'Fane 2.1. Økonomisk ramme 2022'!C13,'Fane 2.1. Økonomisk ramme 2022'!C15)*(1+'Fane 14. Nøgletal'!C14)</f>
        <v>14774.028032530001</v>
      </c>
      <c r="H36" s="14" t="s">
        <v>3</v>
      </c>
      <c r="I36" s="1"/>
    </row>
    <row r="37" spans="1:9" x14ac:dyDescent="0.25">
      <c r="A37" s="1"/>
      <c r="B37" s="104" t="s">
        <v>239</v>
      </c>
      <c r="C37" s="105"/>
      <c r="D37" s="105"/>
      <c r="E37" s="105"/>
      <c r="F37" s="106"/>
      <c r="G37" s="24">
        <f>(G35+G36)*'Fane 14. Nøgletal'!C24</f>
        <v>430817.68098632782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9" t="s">
        <v>85</v>
      </c>
      <c r="C40" s="100"/>
      <c r="D40" s="100"/>
      <c r="E40" s="100"/>
      <c r="F40" s="100"/>
      <c r="G40" s="100"/>
      <c r="H40" s="101"/>
      <c r="I40" s="1"/>
    </row>
    <row r="41" spans="1:9" x14ac:dyDescent="0.25">
      <c r="A41" s="1"/>
      <c r="B41" s="104" t="s">
        <v>81</v>
      </c>
      <c r="C41" s="105"/>
      <c r="D41" s="105"/>
      <c r="E41" s="105"/>
      <c r="F41" s="106"/>
      <c r="G41" s="24">
        <f>(G35+G36-G37)*(1+'Fane 14. Nøgletal'!C14)</f>
        <v>28773124.089151736</v>
      </c>
      <c r="H41" s="14" t="s">
        <v>3</v>
      </c>
      <c r="I41" s="1"/>
    </row>
    <row r="42" spans="1:9" x14ac:dyDescent="0.25">
      <c r="A42" s="1"/>
      <c r="B42" s="47" t="s">
        <v>242</v>
      </c>
      <c r="C42" s="60"/>
      <c r="D42" s="60"/>
      <c r="E42" s="60"/>
      <c r="F42" s="61"/>
      <c r="G42" s="24">
        <f>G36*(1+'Fane 14. Nøgletal'!C14)</f>
        <v>14822.782325037351</v>
      </c>
      <c r="H42" s="14" t="s">
        <v>3</v>
      </c>
      <c r="I42" s="1"/>
    </row>
    <row r="43" spans="1:9" x14ac:dyDescent="0.25">
      <c r="A43" s="1"/>
      <c r="B43" s="104" t="s">
        <v>101</v>
      </c>
      <c r="C43" s="105"/>
      <c r="D43" s="105"/>
      <c r="E43" s="105"/>
      <c r="F43" s="106"/>
      <c r="G43" s="68">
        <f>-'Fane 13. Bortfald'!E18*(1+'Fane 14. Nøgletal'!C14)</f>
        <v>0</v>
      </c>
      <c r="H43" s="14" t="s">
        <v>3</v>
      </c>
      <c r="I43" s="1"/>
    </row>
    <row r="44" spans="1:9" x14ac:dyDescent="0.25">
      <c r="A44" s="1"/>
      <c r="B44" s="104" t="s">
        <v>241</v>
      </c>
      <c r="C44" s="105"/>
      <c r="D44" s="105"/>
      <c r="E44" s="105"/>
      <c r="F44" s="106"/>
      <c r="G44" s="24">
        <f>(G41+G43)*'Fane 14. Nøgletal'!C24</f>
        <v>425842.23651944572</v>
      </c>
      <c r="H44" s="14" t="s">
        <v>3</v>
      </c>
      <c r="I44" s="1"/>
    </row>
    <row r="45" spans="1:9" x14ac:dyDescent="0.2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9" t="s">
        <v>181</v>
      </c>
      <c r="C52" s="100"/>
      <c r="D52" s="100"/>
      <c r="E52" s="100"/>
      <c r="F52" s="100"/>
      <c r="G52" s="100"/>
      <c r="H52" s="101"/>
      <c r="I52" s="1"/>
    </row>
    <row r="53" spans="1:9" x14ac:dyDescent="0.25">
      <c r="A53" s="1"/>
      <c r="B53" s="104" t="s">
        <v>182</v>
      </c>
      <c r="C53" s="105"/>
      <c r="D53" s="105"/>
      <c r="E53" s="105"/>
      <c r="F53" s="106"/>
      <c r="G53" s="24">
        <f>(G41+G43-G44)*(1+'Fane 14. Nøgletal'!C14)</f>
        <v>28440827.882745981</v>
      </c>
      <c r="H53" s="14" t="s">
        <v>3</v>
      </c>
      <c r="I53" s="1"/>
    </row>
    <row r="54" spans="1:9" x14ac:dyDescent="0.25">
      <c r="A54" s="1"/>
      <c r="B54" s="104" t="s">
        <v>183</v>
      </c>
      <c r="C54" s="105"/>
      <c r="D54" s="105"/>
      <c r="E54" s="105"/>
      <c r="F54" s="106"/>
      <c r="G54" s="68">
        <f>-'Fane 13. Bortfald'!E24*(1+'Fane 14. Nøgletal'!C13)</f>
        <v>0</v>
      </c>
      <c r="H54" s="14" t="s">
        <v>3</v>
      </c>
      <c r="I54" s="1"/>
    </row>
    <row r="55" spans="1:9" x14ac:dyDescent="0.25">
      <c r="A55" s="1"/>
      <c r="B55" s="104" t="s">
        <v>184</v>
      </c>
      <c r="C55" s="105"/>
      <c r="D55" s="105"/>
      <c r="E55" s="105"/>
      <c r="F55" s="106"/>
      <c r="G55" s="24">
        <f>(G53+G54)*'Fane 14. Nøgletal'!C24</f>
        <v>420924.25266464055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99" t="s">
        <v>205</v>
      </c>
      <c r="C58" s="100"/>
      <c r="D58" s="100"/>
      <c r="E58" s="100"/>
      <c r="F58" s="100"/>
      <c r="G58" s="100"/>
      <c r="H58" s="101"/>
      <c r="I58" s="1"/>
    </row>
    <row r="59" spans="1:9" x14ac:dyDescent="0.25">
      <c r="A59" s="1"/>
      <c r="B59" s="104" t="s">
        <v>255</v>
      </c>
      <c r="C59" s="105"/>
      <c r="D59" s="105"/>
      <c r="E59" s="105"/>
      <c r="F59" s="106"/>
      <c r="G59" s="24">
        <f>(G53+G54-G55)*(1+'Fane 14. Nøgletal'!C14)</f>
        <v>28112369.312060613</v>
      </c>
      <c r="H59" s="14" t="s">
        <v>3</v>
      </c>
      <c r="I59" s="1"/>
    </row>
    <row r="60" spans="1:9" x14ac:dyDescent="0.25">
      <c r="A60" s="1"/>
      <c r="B60" s="104" t="s">
        <v>256</v>
      </c>
      <c r="C60" s="105"/>
      <c r="D60" s="105"/>
      <c r="E60" s="105"/>
      <c r="F60" s="106"/>
      <c r="G60" s="68">
        <f>-'Fane 13. Bortfald'!E30*(1+'Fane 14. Nøgletal'!C14)</f>
        <v>0</v>
      </c>
      <c r="H60" s="14" t="s">
        <v>3</v>
      </c>
      <c r="I60" s="1"/>
    </row>
    <row r="61" spans="1:9" x14ac:dyDescent="0.25">
      <c r="A61" s="1"/>
      <c r="B61" s="104" t="s">
        <v>257</v>
      </c>
      <c r="C61" s="105"/>
      <c r="D61" s="105"/>
      <c r="E61" s="105"/>
      <c r="F61" s="106"/>
      <c r="G61" s="24">
        <f>(G59+G60)*'Fane 14. Nøgletal'!C24</f>
        <v>416063.0658184971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kex1fpeWmXjQzjnIuoFWDdxCdd8zdyP3yJIXzUoZII4dWJnGSEhFlFr0VVFp670pRI1ZvOPH9Hzw0j9LWRYmGQ==" saltValue="sjBEVACV+pyXAgZrhBuccA==" spinCount="100000" sheet="1" objects="1" scenarios="1"/>
  <mergeCells count="37"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23:F23"/>
    <mergeCell ref="B24:F24"/>
    <mergeCell ref="B25:F25"/>
    <mergeCell ref="B41:F41"/>
    <mergeCell ref="B28:H28"/>
    <mergeCell ref="B29:F29"/>
    <mergeCell ref="B31:F31"/>
    <mergeCell ref="B34:H34"/>
    <mergeCell ref="B36:F36"/>
    <mergeCell ref="B37:F37"/>
    <mergeCell ref="B40:H40"/>
    <mergeCell ref="B58:H58"/>
    <mergeCell ref="B59:F59"/>
    <mergeCell ref="B60:F60"/>
    <mergeCell ref="B61:F61"/>
    <mergeCell ref="B43:F4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96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9" t="s">
        <v>10</v>
      </c>
      <c r="C8" s="100"/>
      <c r="D8" s="100"/>
      <c r="E8" s="100"/>
      <c r="F8" s="100"/>
      <c r="G8" s="100"/>
      <c r="H8" s="101"/>
      <c r="I8" s="1"/>
    </row>
    <row r="9" spans="1:9" x14ac:dyDescent="0.25">
      <c r="A9" s="1"/>
      <c r="B9" s="104" t="s">
        <v>243</v>
      </c>
      <c r="C9" s="105"/>
      <c r="D9" s="105"/>
      <c r="E9" s="105"/>
      <c r="F9" s="106"/>
      <c r="G9" s="23">
        <v>5.2118199662228581E-3</v>
      </c>
      <c r="H9" s="14"/>
      <c r="I9" s="1"/>
    </row>
    <row r="10" spans="1:9" x14ac:dyDescent="0.25">
      <c r="A10" s="1"/>
      <c r="B10" s="104" t="s">
        <v>86</v>
      </c>
      <c r="C10" s="105"/>
      <c r="D10" s="105"/>
      <c r="E10" s="105"/>
      <c r="F10" s="106"/>
      <c r="G10" s="23">
        <v>7.6297360015029009E-3</v>
      </c>
      <c r="H10" s="14"/>
      <c r="I10" s="1"/>
    </row>
    <row r="11" spans="1:9" x14ac:dyDescent="0.25">
      <c r="A11" s="1"/>
      <c r="B11" s="104" t="s">
        <v>87</v>
      </c>
      <c r="C11" s="105"/>
      <c r="D11" s="105"/>
      <c r="E11" s="105"/>
      <c r="F11" s="106"/>
      <c r="G11" s="41">
        <v>7.6534215257374836E-3</v>
      </c>
      <c r="H11" s="14"/>
      <c r="I11" s="1"/>
    </row>
    <row r="12" spans="1:9" x14ac:dyDescent="0.25">
      <c r="A12" s="1"/>
      <c r="B12" s="104" t="s">
        <v>206</v>
      </c>
      <c r="C12" s="105"/>
      <c r="D12" s="105"/>
      <c r="E12" s="105"/>
      <c r="F12" s="106"/>
      <c r="G12" s="41">
        <v>0.02</v>
      </c>
      <c r="H12" s="46"/>
      <c r="I12" s="1"/>
    </row>
    <row r="13" spans="1:9" x14ac:dyDescent="0.2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25">
      <c r="A14" s="1"/>
      <c r="B14" s="115" t="s">
        <v>207</v>
      </c>
      <c r="C14" s="115"/>
      <c r="D14" s="115"/>
      <c r="E14" s="115"/>
      <c r="F14" s="115"/>
      <c r="G14" s="115"/>
      <c r="H14" s="115"/>
      <c r="I14" s="1"/>
    </row>
    <row r="15" spans="1:9" ht="14.25" customHeight="1" x14ac:dyDescent="0.25">
      <c r="A15" s="18"/>
      <c r="B15" s="115"/>
      <c r="C15" s="115"/>
      <c r="D15" s="115"/>
      <c r="E15" s="115"/>
      <c r="F15" s="115"/>
      <c r="G15" s="115"/>
      <c r="H15" s="115"/>
      <c r="I15" s="18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sntbCV8t/rPgvUSE1kZeBwcgNwRZCnGVqmVshaezGss5J814ayBuf7Jkjk1EeIB+rcWUWauz1bPAZD9xN3/16Q==" saltValue="Ttvsotgaoyh1fbgmra01AA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2021-10-11T13:14:33Z</dcterms:modified>
</cp:coreProperties>
</file>