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BlueKolding Spildevand AS (S05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iterate="1"/>
</workbook>
</file>

<file path=xl/calcChain.xml><?xml version="1.0" encoding="utf-8"?>
<calcChain xmlns="http://schemas.openxmlformats.org/spreadsheetml/2006/main">
  <c r="C20" i="23" l="1"/>
  <c r="C20" i="22"/>
  <c r="C20" i="15"/>
  <c r="C32" i="2"/>
  <c r="E24" i="32" l="1"/>
  <c r="E28" i="32" s="1"/>
  <c r="E32" i="32" l="1"/>
  <c r="E34" i="32" s="1"/>
  <c r="C15" i="19"/>
  <c r="E34" i="27" l="1"/>
  <c r="C22" i="23"/>
  <c r="C22" i="22"/>
  <c r="C22" i="15"/>
  <c r="C36" i="2"/>
  <c r="G18" i="41" l="1"/>
  <c r="F14" i="11" l="1"/>
  <c r="F15" i="11"/>
  <c r="F16" i="11"/>
  <c r="F17" i="11"/>
  <c r="F18" i="11"/>
  <c r="F19" i="11"/>
  <c r="F20" i="11"/>
  <c r="F21" i="11"/>
  <c r="F22" i="11"/>
  <c r="F23" i="11"/>
  <c r="F11" i="11" l="1"/>
  <c r="F12" i="11"/>
  <c r="F13" i="11"/>
  <c r="C11" i="29" l="1"/>
  <c r="E11" i="29"/>
  <c r="E13" i="39"/>
  <c r="C13" i="39"/>
  <c r="J24" i="11"/>
  <c r="H24" i="11"/>
  <c r="E16" i="27" l="1"/>
  <c r="E29" i="20" l="1"/>
  <c r="E23" i="20"/>
  <c r="E17" i="20"/>
  <c r="E11" i="20"/>
  <c r="F10" i="11" l="1"/>
  <c r="F24" i="11" s="1"/>
  <c r="E12" i="29" l="1"/>
  <c r="C12" i="29"/>
  <c r="C12" i="21" l="1"/>
  <c r="C13" i="21" s="1"/>
  <c r="C12" i="2" l="1"/>
  <c r="C15" i="2" l="1"/>
  <c r="C14" i="2"/>
  <c r="G6" i="36" l="1"/>
  <c r="C14" i="39" l="1"/>
  <c r="E14" i="39" l="1"/>
  <c r="C26" i="2" l="1"/>
  <c r="C28" i="2" s="1"/>
  <c r="C27" i="2" l="1"/>
  <c r="C29" i="2" s="1"/>
  <c r="C30" i="2" l="1"/>
  <c r="C16" i="19" l="1"/>
  <c r="C16" i="15" s="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9" i="37" s="1"/>
  <c r="C20" i="37" l="1"/>
  <c r="C10" i="2" s="1"/>
  <c r="G44" i="30" s="1"/>
  <c r="G35" i="36"/>
  <c r="G37" i="36" l="1"/>
  <c r="E19" i="27" s="1"/>
  <c r="G41" i="36" l="1"/>
  <c r="G27" i="30"/>
  <c r="G31" i="30" l="1"/>
  <c r="E10" i="37"/>
  <c r="E19" i="37" s="1"/>
  <c r="G33" i="30" l="1"/>
  <c r="G37" i="30" s="1"/>
  <c r="G39" i="30" s="1"/>
  <c r="E20"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<sst xmlns="http://schemas.openxmlformats.org/spreadsheetml/2006/main" count="693" uniqueCount="298">
  <si>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</si>
  <si>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</si>
  <si>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</si>
  <si>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</si>
  <si>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</si>
  <si>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</si>
  <si>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</si>
  <si>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</si>
  <si>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</si>
  <si>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</si>
  <si>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</si>
  <si>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</si>
  <si>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</si>
  <si>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</si>
  <si>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</si>
  <si>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</si>
  <si>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</si>
  <si>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</si>
  <si>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</si>
  <si>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</si>
  <si>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</si>
  <si>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</si>
  <si>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</si>
  <si>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</si>
  <si>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</si>
  <si>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</si>
  <si>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</si>
  <si>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</si>
  <si>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</si>
  <si>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</si>
  <si>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</si>
  <si>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</si>
  <si>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</si>
  <si>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</si>
  <si>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</si>
  <si>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</si>
  <si>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</si>
  <si>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</si>
  <si>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</si>
  <si>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</si>
  <si>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</si>
  <si>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</si>
  <si>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</si>
  <si>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</si>
  <si>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</si>
  <si>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</si>
  <si>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</si>
  <si>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</si>
  <si>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</si>
  <si>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</si>
  <si>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</si>
  <si>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</si>
  <si>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</si>
  <si>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</si>
  <si>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</si>
  <si>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</si>
  <si>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</si>
  <si>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</si>
  <si>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</si>
  <si>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</si>
  <si>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</si>
  <si>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</si>
  <si>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</si>
  <si>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</si>
  <si>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</si>
  <si>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</si>
  <si>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</si>
  <si>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</si>
  <si>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</si>
  <si>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</si>
  <si>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</si>
  <si>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</si>
  <si>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</si>
  <si>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</si>
  <si>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</si>
  <si>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</si>
  <si>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</si>
  <si>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</si>
  <si>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</si>
  <si>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</si>
  <si>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</si>
  <si>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</si>
  <si>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</si>
  <si>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</si>
  <si>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</si>
  <si>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</si>
  <si>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</si>
  <si>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</si>
  <si>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</si>
  <si>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</si>
  <si>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</si>
  <si>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</si>
  <si>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</si>
  <si>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</si>
  <si>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</si>
  <si>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</si>
  <si>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</si>
  <si>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</si>
  <si>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</si>
  <si>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</si>
  <si>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</si>
  <si>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</si>
  <si>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</si>
  <si>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</si>
  <si>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</si>
  <si>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</si>
  <si>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</si>
  <si>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</si>
  <si>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</si>
  <si>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</si>
  <si>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</si>
  <si>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</si>
  <si>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</si>
  <si>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</si>
  <si>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</si>
  <si>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</si>
  <si>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</si>
  <si>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</si>
  <si>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</si>
  <si>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</si>
  <si>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</si>
  <si>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</si>
  <si>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</si>
  <si>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</si>
  <si>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</si>
  <si>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</si>
  <si>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</si>
  <si>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</si>
  <si>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</si>
  <si>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</si>
  <si>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</si>
  <si>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</si>
  <si>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</si>
  <si>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</si>
  <si>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</si>
  <si>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</si>
  <si>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</si>
  <si>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</si>
  <si>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</si>
  <si>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</si>
  <si>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</si>
  <si>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</si>
  <si>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</si>
  <si>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</si>
  <si>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</si>
  <si>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</si>
  <si>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</si>
  <si>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</si>
  <si>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</si>
  <si>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</si>
  <si>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</si>
  <si>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</si>
  <si>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</si>
  <si>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</si>
  <si>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</si>
  <si>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</si>
  <si>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</si>
  <si>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</si>
  <si>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</si>
  <si>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</si>
  <si>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</si>
  <si>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</si>
  <si>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</si>
  <si>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</si>
  <si>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</si>
  <si>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</si>
  <si>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</si>
  <si>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</si>
  <si>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</si>
  <si>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</si>
  <si>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</si>
  <si>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</si>
  <si>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</si>
  <si>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</si>
  <si>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</si>
  <si>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</si>
  <si>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</si>
  <si>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</si>
  <si>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</si>
  <si>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</si>
  <si>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</si>
  <si>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</si>
  <si>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</si>
  <si>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</si>
  <si>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</si>
  <si>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</si>
  <si>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</si>
  <si>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</si>
  <si>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</si>
  <si>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</si>
  <si>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</si>
  <si>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</si>
  <si>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</si>
  <si>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</si>
  <si>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</si>
  <si>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</si>
  <si>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</si>
  <si>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</si>
  <si>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</si>
  <si>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</si>
  <si>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</si>
  <si>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</si>
  <si>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</si>
  <si>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</si>
  <si>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</si>
  <si>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</si>
  <si>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</si>
  <si>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</si>
  <si>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</si>
  <si>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</si>
  <si>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</si>
  <si>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</si>
  <si>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</si>
  <si>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</si>
  <si>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</si>
  <si>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</si>
  <si>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</si>
  <si>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</si>
  <si>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</si>
  <si>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</si>
  <si>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</si>
  <si>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</si>
  <si>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</si>
  <si>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</si>
  <si>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</si>
  <si>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</si>
  <si>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</si>
  <si>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</si>
  <si>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</si>
  <si>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</si>
  <si>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</si>
  <si>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</si>
  <si>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</si>
  <si>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</si>
  <si>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</si>
  <si>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</si>
  <si>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</si>
  <si>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</si>
  <si>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</si>
  <si>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</si>
  <si>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</si>
  <si>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</si>
  <si>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</si>
  <si>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</si>
  <si>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</si>
  <si>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</si>
  <si>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</si>
  <si>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</si>
  <si>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</si>
  <si>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</si>
  <si>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</si>
  <si>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</si>
  <si>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</si>
  <si>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</si>
  <si>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</si>
  <si>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</si>
  <si>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</si>
  <si>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</si>
  <si>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</si>
  <si>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</si>
  <si>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</si>
  <si>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</si>
  <si>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</si>
  <si>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</si>
  <si>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</si>
  <si>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</si>
  <si>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</si>
  <si>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</si>
  <si>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</si>
  <si>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</si>
  <si>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</si>
  <si>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</si>
  <si>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</si>
  <si>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</si>
  <si>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Reduktion af overløb og separatkloakeringer</t>
  </si>
  <si>
    <t>Byggemodninger og nye tilslutninger</t>
  </si>
  <si>
    <t>Ingen engangstillæg</t>
  </si>
  <si>
    <t>Arbejdsplads</t>
  </si>
  <si>
    <t>Forsinkelsesbassiner, lukkede med automatisk rensning og SRO Miljøklasse A (1.000-3.000 m3) - Konstruktioner</t>
  </si>
  <si>
    <t>Ledningsnet &gt; Ø 1600 mm (rørbassiner og transportledninger)</t>
  </si>
  <si>
    <t>Ledningsnet ≤ Ø 200 mm</t>
  </si>
  <si>
    <t>Overbygning</t>
  </si>
  <si>
    <t>Pumpeinstallation Miljøklasse A (1.000-1.500 l/s) - Mek/EL</t>
  </si>
  <si>
    <t>Pumpeinstallation Miljøklasse A (1.000-1.500 l/s) - SRO</t>
  </si>
  <si>
    <t>Pumpeinstallation Miljøklasse A (600-1.000 l/s) - Mek/EL</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</si>
  <si>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</si>
  <si>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</si>
  <si>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</si>
  <si>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</si>
  <si>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</si>
  <si>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</si>
  <si>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</si>
  <si>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</si>
  <si>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</si>
  <si>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</si>
  <si>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</si>
  <si>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</si>
  <si>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Force majeure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</si>
</sst>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1" fontId="8" fillId="0" borderId="1" xfId="0" applyNumberFormat="1" applyFont="1" applyFill="1" applyBorder="1" applyAlignment="1" applyProtection="1">
      <alignment horizontal="center"/>
    </xf>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7" t="s">
        <v>227</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11" t="s">
        <v>169</v>
      </c>
      <c r="E13" s="112"/>
      <c r="F13" s="112"/>
      <c r="G13" s="113"/>
      <c r="H13" s="5"/>
      <c r="I13" s="1"/>
    </row>
    <row r="14" spans="1:9" x14ac:dyDescent="0.25">
      <c r="A14" s="1"/>
      <c r="B14" s="1"/>
      <c r="C14" s="6" t="s">
        <v>16</v>
      </c>
      <c r="D14" s="96" t="s">
        <v>237</v>
      </c>
      <c r="E14" s="97"/>
      <c r="F14" s="97"/>
      <c r="G14" s="98"/>
      <c r="H14" s="5"/>
      <c r="I14" s="1"/>
    </row>
    <row r="15" spans="1:9" x14ac:dyDescent="0.25">
      <c r="A15" s="1"/>
      <c r="B15" s="1"/>
      <c r="C15" s="6" t="s">
        <v>34</v>
      </c>
      <c r="D15" s="96" t="s">
        <v>170</v>
      </c>
      <c r="E15" s="97"/>
      <c r="F15" s="97"/>
      <c r="G15" s="98"/>
      <c r="H15" s="5"/>
      <c r="I15" s="1"/>
    </row>
    <row r="16" spans="1:9" x14ac:dyDescent="0.25">
      <c r="A16" s="1"/>
      <c r="B16" s="1"/>
      <c r="C16" s="6" t="s">
        <v>35</v>
      </c>
      <c r="D16" s="96" t="s">
        <v>183</v>
      </c>
      <c r="E16" s="97"/>
      <c r="F16" s="97"/>
      <c r="G16" s="98"/>
      <c r="H16" s="5"/>
      <c r="I16" s="1"/>
    </row>
    <row r="17" spans="1:9" x14ac:dyDescent="0.25">
      <c r="A17" s="1"/>
      <c r="B17" s="1"/>
      <c r="C17" s="6" t="s">
        <v>119</v>
      </c>
      <c r="D17" s="96" t="s">
        <v>184</v>
      </c>
      <c r="E17" s="97"/>
      <c r="F17" s="97"/>
      <c r="G17" s="98"/>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00" t="s">
        <v>12</v>
      </c>
      <c r="E21" s="101"/>
      <c r="F21" s="101"/>
      <c r="G21" s="102"/>
      <c r="H21" s="5"/>
      <c r="I21" s="1"/>
    </row>
    <row r="22" spans="1:9" x14ac:dyDescent="0.25">
      <c r="A22" s="1"/>
      <c r="B22" s="1"/>
      <c r="C22" s="6" t="s">
        <v>83</v>
      </c>
      <c r="D22" s="103" t="s">
        <v>185</v>
      </c>
      <c r="E22" s="104"/>
      <c r="F22" s="104"/>
      <c r="G22" s="105"/>
      <c r="H22" s="5"/>
      <c r="I22" s="1"/>
    </row>
    <row r="23" spans="1:9" x14ac:dyDescent="0.25">
      <c r="A23" s="1"/>
      <c r="B23" s="1"/>
      <c r="C23" s="6" t="s">
        <v>8</v>
      </c>
      <c r="D23" s="103" t="s">
        <v>255</v>
      </c>
      <c r="E23" s="104"/>
      <c r="F23" s="104"/>
      <c r="G23" s="105"/>
      <c r="H23" s="5"/>
      <c r="I23" s="1"/>
    </row>
    <row r="24" spans="1:9" x14ac:dyDescent="0.25">
      <c r="A24" s="1"/>
      <c r="B24" s="1"/>
      <c r="C24" s="6" t="s">
        <v>9</v>
      </c>
      <c r="D24" s="103" t="s">
        <v>186</v>
      </c>
      <c r="E24" s="104"/>
      <c r="F24" s="104"/>
      <c r="G24" s="105"/>
      <c r="H24" s="5"/>
      <c r="I24" s="1"/>
    </row>
    <row r="25" spans="1:9" x14ac:dyDescent="0.25">
      <c r="A25" s="1"/>
      <c r="B25" s="1"/>
      <c r="C25" s="6" t="s">
        <v>248</v>
      </c>
      <c r="D25" s="103" t="s">
        <v>239</v>
      </c>
      <c r="E25" s="104"/>
      <c r="F25" s="104"/>
      <c r="G25" s="105"/>
      <c r="H25" s="1"/>
      <c r="I25" s="1"/>
    </row>
    <row r="26" spans="1:9" x14ac:dyDescent="0.25">
      <c r="A26" s="1"/>
      <c r="B26" s="1"/>
      <c r="C26" s="6" t="s">
        <v>249</v>
      </c>
      <c r="D26" s="103" t="s">
        <v>84</v>
      </c>
      <c r="E26" s="104"/>
      <c r="F26" s="104"/>
      <c r="G26" s="105"/>
      <c r="H26" s="1"/>
      <c r="I26" s="1"/>
    </row>
    <row r="27" spans="1:9" x14ac:dyDescent="0.25">
      <c r="A27" s="1"/>
      <c r="B27" s="1"/>
      <c r="C27" s="6" t="s">
        <v>250</v>
      </c>
      <c r="D27" s="103" t="s">
        <v>85</v>
      </c>
      <c r="E27" s="104"/>
      <c r="F27" s="104"/>
      <c r="G27" s="105"/>
      <c r="H27" s="1"/>
      <c r="I27" s="1"/>
    </row>
    <row r="28" spans="1:9" x14ac:dyDescent="0.25">
      <c r="A28" s="1"/>
      <c r="B28" s="1"/>
      <c r="C28" s="6" t="s">
        <v>15</v>
      </c>
      <c r="D28" s="103" t="s">
        <v>86</v>
      </c>
      <c r="E28" s="104"/>
      <c r="F28" s="104"/>
      <c r="G28" s="105"/>
      <c r="H28" s="1"/>
      <c r="I28" s="1"/>
    </row>
    <row r="29" spans="1:9" x14ac:dyDescent="0.25">
      <c r="A29" s="1"/>
      <c r="B29" s="1"/>
      <c r="C29" s="6" t="s">
        <v>37</v>
      </c>
      <c r="D29" s="103" t="s">
        <v>134</v>
      </c>
      <c r="E29" s="104"/>
      <c r="F29" s="104"/>
      <c r="G29" s="105"/>
      <c r="H29" s="1"/>
      <c r="I29" s="1"/>
    </row>
    <row r="30" spans="1:9" x14ac:dyDescent="0.25">
      <c r="A30" s="1"/>
      <c r="B30" s="1"/>
      <c r="C30" s="6" t="s">
        <v>38</v>
      </c>
      <c r="D30" s="103" t="s">
        <v>36</v>
      </c>
      <c r="E30" s="104"/>
      <c r="F30" s="104"/>
      <c r="G30" s="105"/>
      <c r="H30" s="1"/>
      <c r="I30" s="1"/>
    </row>
    <row r="31" spans="1:9" x14ac:dyDescent="0.25">
      <c r="A31" s="1"/>
      <c r="B31" s="1"/>
      <c r="C31" s="6" t="s">
        <v>251</v>
      </c>
      <c r="D31" s="114" t="s">
        <v>105</v>
      </c>
      <c r="E31" s="115"/>
      <c r="F31" s="115"/>
      <c r="G31" s="11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dFJ/fbmkgSrJx0ct64KCKN6ve6cGPwCWflkpxCK9T3DTTsgt1jBXqfimzRdk17e4r0T7+ZCR5R1yVm+2IS8dg==" saltValue="934BMJc+bc7MSKIrwwr7C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200</v>
      </c>
      <c r="C8" s="126"/>
      <c r="D8" s="127"/>
      <c r="E8" s="1"/>
      <c r="F8" s="1"/>
    </row>
    <row r="9" spans="1:6" ht="15" customHeight="1" x14ac:dyDescent="0.25">
      <c r="A9" s="1"/>
      <c r="B9" s="27" t="s">
        <v>32</v>
      </c>
      <c r="C9" s="60" t="s">
        <v>242</v>
      </c>
      <c r="D9" s="11"/>
      <c r="E9" s="1"/>
      <c r="F9" s="1"/>
    </row>
    <row r="10" spans="1:6" x14ac:dyDescent="0.25">
      <c r="A10" s="1"/>
      <c r="B10" s="92" t="s">
        <v>268</v>
      </c>
      <c r="C10" s="9">
        <v>4890649</v>
      </c>
      <c r="D10" s="14" t="s">
        <v>3</v>
      </c>
      <c r="E10" s="1"/>
      <c r="F10" s="1"/>
    </row>
    <row r="11" spans="1:6" x14ac:dyDescent="0.25">
      <c r="A11" s="1"/>
      <c r="B11" s="92" t="s">
        <v>269</v>
      </c>
      <c r="C11" s="9">
        <v>177029</v>
      </c>
      <c r="D11" s="14" t="s">
        <v>3</v>
      </c>
      <c r="E11" s="1"/>
      <c r="F11" s="1"/>
    </row>
    <row r="12" spans="1:6" x14ac:dyDescent="0.25">
      <c r="A12" s="1"/>
      <c r="B12" s="92" t="s">
        <v>270</v>
      </c>
      <c r="C12" s="9">
        <v>584276</v>
      </c>
      <c r="D12" s="14" t="s">
        <v>3</v>
      </c>
      <c r="E12" s="1"/>
      <c r="F12" s="1"/>
    </row>
    <row r="13" spans="1:6" x14ac:dyDescent="0.25">
      <c r="A13" s="1"/>
      <c r="B13" s="92" t="s">
        <v>271</v>
      </c>
      <c r="C13" s="9">
        <v>330098</v>
      </c>
      <c r="D13" s="14" t="s">
        <v>3</v>
      </c>
      <c r="E13" s="1"/>
      <c r="F13" s="1"/>
    </row>
    <row r="14" spans="1:6" x14ac:dyDescent="0.25">
      <c r="A14" s="1"/>
      <c r="B14" s="92" t="s">
        <v>297</v>
      </c>
      <c r="C14" s="9">
        <v>104584.65</v>
      </c>
      <c r="D14" s="14" t="s">
        <v>3</v>
      </c>
      <c r="E14" s="1"/>
      <c r="F14" s="1"/>
    </row>
    <row r="15" spans="1:6" x14ac:dyDescent="0.25">
      <c r="A15" s="1"/>
      <c r="B15" s="33" t="s">
        <v>201</v>
      </c>
      <c r="C15" s="12">
        <f>SUM(C10:C14)</f>
        <v>6086636.6500000004</v>
      </c>
      <c r="D15" s="13" t="s">
        <v>3</v>
      </c>
      <c r="E15" s="1"/>
      <c r="F15" s="1"/>
    </row>
    <row r="16" spans="1:6" x14ac:dyDescent="0.25">
      <c r="A16" s="1"/>
      <c r="B16" s="33" t="s">
        <v>202</v>
      </c>
      <c r="C16" s="12">
        <f>C15*(1+'Fane 15. Nøgletal'!C15)^2</f>
        <v>6527719.139304745</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5" t="s">
        <v>117</v>
      </c>
      <c r="C19" s="126"/>
      <c r="D19" s="127"/>
      <c r="E19" s="1"/>
      <c r="F19" s="1"/>
    </row>
    <row r="20" spans="1:6" x14ac:dyDescent="0.25">
      <c r="A20" s="1"/>
      <c r="B20" s="92" t="s">
        <v>99</v>
      </c>
      <c r="C20" s="9">
        <v>1886775</v>
      </c>
      <c r="D20" s="14" t="s">
        <v>3</v>
      </c>
      <c r="E20" s="1"/>
      <c r="F20" s="1"/>
    </row>
    <row r="21" spans="1:6" x14ac:dyDescent="0.25">
      <c r="A21" s="1"/>
      <c r="B21" s="92" t="s">
        <v>129</v>
      </c>
      <c r="C21" s="9">
        <v>1886775</v>
      </c>
      <c r="D21" s="14" t="s">
        <v>3</v>
      </c>
      <c r="E21" s="1"/>
      <c r="F21" s="1"/>
    </row>
    <row r="22" spans="1:6" x14ac:dyDescent="0.25">
      <c r="A22" s="1"/>
      <c r="B22" s="92" t="s">
        <v>155</v>
      </c>
      <c r="C22" s="9">
        <v>1886775</v>
      </c>
      <c r="D22" s="14" t="s">
        <v>3</v>
      </c>
      <c r="E22" s="1"/>
      <c r="F22" s="1"/>
    </row>
    <row r="23" spans="1:6" x14ac:dyDescent="0.25">
      <c r="A23" s="1"/>
      <c r="B23" s="34" t="s">
        <v>203</v>
      </c>
      <c r="C23" s="9">
        <v>1886775</v>
      </c>
      <c r="D23" s="41" t="s">
        <v>3</v>
      </c>
      <c r="E23" s="1"/>
      <c r="F23" s="1"/>
    </row>
    <row r="24" spans="1:6" x14ac:dyDescent="0.25">
      <c r="A24" s="1"/>
      <c r="B24" s="125"/>
      <c r="C24" s="126"/>
      <c r="D24" s="127"/>
      <c r="E24" s="1"/>
      <c r="F24" s="1"/>
    </row>
    <row r="25" spans="1:6" x14ac:dyDescent="0.25">
      <c r="A25" s="1"/>
      <c r="B25" s="1"/>
      <c r="C25" s="1"/>
      <c r="D25" s="1"/>
      <c r="E25" s="1"/>
      <c r="F25" s="1"/>
    </row>
    <row r="26" spans="1:6" x14ac:dyDescent="0.25">
      <c r="A26" s="1"/>
      <c r="B26" s="1"/>
      <c r="C26" s="1"/>
      <c r="D26" s="1"/>
      <c r="E26" s="1"/>
      <c r="F26" s="1"/>
    </row>
    <row r="27" spans="1:6" x14ac:dyDescent="0.25">
      <c r="A27" s="1"/>
      <c r="B27" s="125" t="s">
        <v>98</v>
      </c>
      <c r="C27" s="126"/>
      <c r="D27" s="127"/>
      <c r="E27" s="1"/>
      <c r="F27" s="1"/>
    </row>
    <row r="28" spans="1:6" x14ac:dyDescent="0.25">
      <c r="A28" s="1"/>
      <c r="B28" s="92" t="s">
        <v>99</v>
      </c>
      <c r="C28" s="9">
        <v>0</v>
      </c>
      <c r="D28" s="14" t="s">
        <v>3</v>
      </c>
      <c r="E28" s="1"/>
      <c r="F28" s="1"/>
    </row>
    <row r="29" spans="1:6" x14ac:dyDescent="0.25">
      <c r="A29" s="1"/>
      <c r="B29" s="92" t="s">
        <v>129</v>
      </c>
      <c r="C29" s="9">
        <v>0</v>
      </c>
      <c r="D29" s="14" t="s">
        <v>3</v>
      </c>
      <c r="E29" s="1"/>
      <c r="F29" s="1"/>
    </row>
    <row r="30" spans="1:6" x14ac:dyDescent="0.25">
      <c r="A30" s="1"/>
      <c r="B30" s="92" t="s">
        <v>155</v>
      </c>
      <c r="C30" s="9">
        <v>0</v>
      </c>
      <c r="D30" s="14" t="s">
        <v>3</v>
      </c>
      <c r="E30" s="1"/>
      <c r="F30" s="1"/>
    </row>
    <row r="31" spans="1:6" x14ac:dyDescent="0.25">
      <c r="A31" s="1"/>
      <c r="B31" s="34" t="s">
        <v>203</v>
      </c>
      <c r="C31" s="9">
        <v>0</v>
      </c>
      <c r="D31" s="41" t="s">
        <v>3</v>
      </c>
      <c r="E31" s="1"/>
      <c r="F31" s="1"/>
    </row>
    <row r="32" spans="1:6" x14ac:dyDescent="0.25">
      <c r="A32" s="1"/>
      <c r="B32" s="125"/>
      <c r="C32" s="126"/>
      <c r="D32" s="12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51"/>
      <c r="B49" s="51"/>
      <c r="C49" s="51"/>
      <c r="D49" s="51"/>
      <c r="E49" s="51"/>
      <c r="F49" s="51"/>
    </row>
    <row r="50" spans="1:6" x14ac:dyDescent="0.25">
      <c r="A50" s="51"/>
      <c r="B50" s="51"/>
      <c r="C50" s="51"/>
      <c r="D50" s="51"/>
      <c r="E50" s="51"/>
      <c r="F50" s="51"/>
    </row>
    <row r="51" spans="1:6" x14ac:dyDescent="0.25">
      <c r="A51" s="51"/>
      <c r="B51" s="51"/>
      <c r="C51" s="51"/>
      <c r="D51" s="51"/>
      <c r="E51" s="51"/>
      <c r="F51" s="51"/>
    </row>
    <row r="52" spans="1:6" x14ac:dyDescent="0.25">
      <c r="A52" s="51"/>
      <c r="B52" s="51"/>
      <c r="C52" s="51"/>
      <c r="D52" s="51"/>
      <c r="E52" s="51"/>
      <c r="F52" s="51"/>
    </row>
  </sheetData>
  <sheetProtection algorithmName="SHA-512" hashValue="7TEKkMe8EL8fMsFfx50SfOLvXFi5zK4kOiljXRbepcTeZqGybwgcT9cRdY03UQK/rhJVDSk9wh2D4x6qc81QlQ==" saltValue="h+82ukBIKIIBVtyrr20MY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2.42578125" style="2" customWidth="1"/>
    <col min="5" max="5" width="14.710937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204</v>
      </c>
      <c r="C3" s="133"/>
      <c r="D3" s="133"/>
      <c r="E3" s="133"/>
      <c r="F3" s="133"/>
      <c r="G3" s="1"/>
    </row>
    <row r="4" spans="1:7" ht="15" customHeight="1" x14ac:dyDescent="0.25">
      <c r="A4" s="1"/>
      <c r="B4" s="133"/>
      <c r="C4" s="133"/>
      <c r="D4" s="133"/>
      <c r="E4" s="133"/>
      <c r="F4" s="133"/>
      <c r="G4" s="1"/>
    </row>
    <row r="5" spans="1:7" ht="15" customHeight="1" x14ac:dyDescent="0.25">
      <c r="A5" s="1"/>
      <c r="B5" s="80"/>
      <c r="C5" s="80"/>
      <c r="D5" s="80"/>
      <c r="E5" s="80"/>
      <c r="F5" s="80"/>
      <c r="G5" s="1"/>
    </row>
    <row r="6" spans="1:7" ht="15" customHeight="1" x14ac:dyDescent="0.25">
      <c r="A6" s="1"/>
      <c r="B6" s="80"/>
      <c r="C6" s="80"/>
      <c r="D6" s="80"/>
      <c r="E6" s="80"/>
      <c r="F6" s="80"/>
      <c r="G6" s="1"/>
    </row>
    <row r="7" spans="1:7" x14ac:dyDescent="0.25">
      <c r="A7" s="1"/>
      <c r="B7" s="1"/>
      <c r="C7" s="1"/>
      <c r="D7" s="1"/>
      <c r="E7" s="1"/>
      <c r="F7" s="1"/>
      <c r="G7" s="1"/>
    </row>
    <row r="8" spans="1:7" x14ac:dyDescent="0.25">
      <c r="A8" s="1"/>
      <c r="B8" s="125" t="s">
        <v>178</v>
      </c>
      <c r="C8" s="126"/>
      <c r="D8" s="126"/>
      <c r="E8" s="126"/>
      <c r="F8" s="127"/>
      <c r="G8" s="1"/>
    </row>
    <row r="9" spans="1:7" x14ac:dyDescent="0.25">
      <c r="A9" s="1"/>
      <c r="B9" s="134" t="s">
        <v>205</v>
      </c>
      <c r="C9" s="135"/>
      <c r="D9" s="136"/>
      <c r="E9" s="9">
        <v>-15852564.628735453</v>
      </c>
      <c r="F9" s="14" t="s">
        <v>3</v>
      </c>
      <c r="G9" s="1"/>
    </row>
    <row r="10" spans="1:7" x14ac:dyDescent="0.25">
      <c r="A10" s="1"/>
      <c r="B10" s="134" t="s">
        <v>265</v>
      </c>
      <c r="C10" s="135"/>
      <c r="D10" s="136"/>
      <c r="E10" s="9">
        <v>-15852564.628735453</v>
      </c>
      <c r="F10" s="14" t="s">
        <v>3</v>
      </c>
      <c r="G10" s="1"/>
    </row>
    <row r="11" spans="1:7" x14ac:dyDescent="0.25">
      <c r="A11" s="1"/>
      <c r="B11" s="33"/>
      <c r="C11" s="28"/>
      <c r="D11" s="28"/>
      <c r="E11" s="28"/>
      <c r="F11" s="19"/>
      <c r="G11" s="1"/>
    </row>
    <row r="12" spans="1:7" ht="67.5" customHeight="1" x14ac:dyDescent="0.25">
      <c r="A12" s="1"/>
      <c r="B12" s="128" t="s">
        <v>266</v>
      </c>
      <c r="C12" s="129"/>
      <c r="D12" s="129"/>
      <c r="E12" s="129"/>
      <c r="F12" s="130"/>
      <c r="G12" s="1"/>
    </row>
    <row r="13" spans="1:7" ht="27" customHeight="1" x14ac:dyDescent="0.25">
      <c r="A13" s="1"/>
      <c r="B13" s="1"/>
      <c r="C13" s="1"/>
      <c r="D13" s="1"/>
      <c r="E13" s="1"/>
      <c r="F13" s="1"/>
      <c r="G13" s="1"/>
    </row>
    <row r="14" spans="1:7" ht="28.5" customHeight="1" x14ac:dyDescent="0.25">
      <c r="A14" s="1"/>
      <c r="B14" s="125" t="s">
        <v>179</v>
      </c>
      <c r="C14" s="126"/>
      <c r="D14" s="126"/>
      <c r="E14" s="126"/>
      <c r="F14" s="127"/>
      <c r="G14" s="1"/>
    </row>
    <row r="15" spans="1:7" x14ac:dyDescent="0.25">
      <c r="A15" s="1"/>
      <c r="B15" s="134" t="s">
        <v>293</v>
      </c>
      <c r="C15" s="135"/>
      <c r="D15" s="136"/>
      <c r="E15" s="9">
        <v>-16458832.565264106</v>
      </c>
      <c r="F15" s="14" t="s">
        <v>3</v>
      </c>
      <c r="G15" s="1"/>
    </row>
    <row r="16" spans="1:7" x14ac:dyDescent="0.25">
      <c r="A16" s="1"/>
      <c r="B16" s="134" t="s">
        <v>294</v>
      </c>
      <c r="C16" s="135"/>
      <c r="D16" s="136"/>
      <c r="E16" s="9">
        <v>-16458832.565264106</v>
      </c>
      <c r="F16" s="14" t="s">
        <v>3</v>
      </c>
      <c r="G16" s="1"/>
    </row>
    <row r="17" spans="1:7" x14ac:dyDescent="0.25">
      <c r="A17" s="1"/>
      <c r="B17" s="33"/>
      <c r="C17" s="28"/>
      <c r="D17" s="28"/>
      <c r="E17" s="28"/>
      <c r="F17" s="19"/>
      <c r="G17" s="1"/>
    </row>
    <row r="18" spans="1:7" ht="31.5" customHeight="1" x14ac:dyDescent="0.25">
      <c r="A18" s="1"/>
      <c r="B18" s="128" t="s">
        <v>180</v>
      </c>
      <c r="C18" s="129"/>
      <c r="D18" s="129"/>
      <c r="E18" s="129"/>
      <c r="F18" s="130"/>
      <c r="G18" s="1"/>
    </row>
    <row r="19" spans="1:7" ht="28.5" customHeight="1" x14ac:dyDescent="0.25">
      <c r="A19" s="1"/>
      <c r="B19" s="1"/>
      <c r="C19" s="1"/>
      <c r="D19" s="1"/>
      <c r="E19" s="1"/>
      <c r="F19" s="1"/>
      <c r="G19" s="1"/>
    </row>
    <row r="20" spans="1:7" ht="28.5" customHeight="1" x14ac:dyDescent="0.25">
      <c r="A20" s="1"/>
      <c r="B20" s="84" t="s">
        <v>206</v>
      </c>
      <c r="C20" s="85"/>
      <c r="D20" s="85"/>
      <c r="E20" s="85"/>
      <c r="F20" s="86"/>
      <c r="G20" s="1"/>
    </row>
    <row r="21" spans="1:7" x14ac:dyDescent="0.25">
      <c r="A21" s="1"/>
      <c r="B21" s="89" t="s">
        <v>207</v>
      </c>
      <c r="C21" s="90"/>
      <c r="D21" s="91"/>
      <c r="E21" s="9">
        <v>168707161.72441104</v>
      </c>
      <c r="F21" s="14" t="s">
        <v>3</v>
      </c>
      <c r="G21" s="1"/>
    </row>
    <row r="22" spans="1:7" x14ac:dyDescent="0.25">
      <c r="A22" s="1"/>
      <c r="B22" s="89" t="s">
        <v>208</v>
      </c>
      <c r="C22" s="90"/>
      <c r="D22" s="91"/>
      <c r="E22" s="9">
        <v>179940855</v>
      </c>
      <c r="F22" s="14" t="s">
        <v>3</v>
      </c>
      <c r="G22" s="1"/>
    </row>
    <row r="23" spans="1:7" x14ac:dyDescent="0.25">
      <c r="A23" s="1"/>
      <c r="B23" s="89" t="s">
        <v>33</v>
      </c>
      <c r="C23" s="90"/>
      <c r="D23" s="91"/>
      <c r="E23" s="9">
        <v>0</v>
      </c>
      <c r="F23" s="14" t="s">
        <v>3</v>
      </c>
      <c r="G23" s="1"/>
    </row>
    <row r="24" spans="1:7" x14ac:dyDescent="0.25">
      <c r="A24" s="1"/>
      <c r="B24" s="87" t="s">
        <v>272</v>
      </c>
      <c r="C24" s="88"/>
      <c r="D24" s="94"/>
      <c r="E24" s="76">
        <f>E21-(E22-E23)</f>
        <v>-11233693.275588959</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5" t="s">
        <v>295</v>
      </c>
      <c r="C27" s="126"/>
      <c r="D27" s="126"/>
      <c r="E27" s="126"/>
      <c r="F27" s="127"/>
      <c r="G27" s="1"/>
    </row>
    <row r="28" spans="1:7" x14ac:dyDescent="0.25">
      <c r="A28" s="1"/>
      <c r="B28" s="131" t="s">
        <v>296</v>
      </c>
      <c r="C28" s="132"/>
      <c r="D28" s="154"/>
      <c r="E28" s="77">
        <f>IF(AND(E9&gt;0,(E9+E24)&gt;0),0,IF(AND(E9&gt;0,(E9+E24)&lt;0),0,IF(AND(E9&lt;0,E24&gt;0,E10=0),0,IF(AND(E9&lt;0,E24&gt;0,ABS(E10)&lt;ABS(E24)),ABS(E16),IF(AND(E9&lt;0,E24&gt;0,ABS(E10)&gt;ABS(E24),ABS(E16)&gt;ABS(E24)),-(ABS(E16)-ABS(E24)),IF(AND(E9&lt;0,E24&gt;0,ABS(E10)&gt;ABS(E24),ABS(E16)&lt;ABS(E24)),E24-ABS(E16),IF(AND(E9&lt;0,E24&lt;0),E16,0)))))))</f>
        <v>-16458832.565264106</v>
      </c>
      <c r="F28" s="17" t="s">
        <v>3</v>
      </c>
      <c r="G28" s="1"/>
    </row>
    <row r="29" spans="1:7" x14ac:dyDescent="0.25">
      <c r="A29" s="1"/>
      <c r="B29" s="125"/>
      <c r="C29" s="126"/>
      <c r="D29" s="126"/>
      <c r="E29" s="126"/>
      <c r="F29" s="127"/>
      <c r="G29" s="1"/>
    </row>
    <row r="30" spans="1:7" x14ac:dyDescent="0.25">
      <c r="A30" s="1"/>
      <c r="B30" s="1"/>
      <c r="C30" s="1"/>
      <c r="D30" s="1"/>
      <c r="E30" s="1"/>
      <c r="F30" s="1"/>
      <c r="G30" s="1"/>
    </row>
    <row r="31" spans="1:7" ht="28.5" customHeight="1" x14ac:dyDescent="0.25">
      <c r="A31" s="1"/>
      <c r="B31" s="125" t="s">
        <v>267</v>
      </c>
      <c r="C31" s="126"/>
      <c r="D31" s="126"/>
      <c r="E31" s="126"/>
      <c r="F31" s="127"/>
      <c r="G31" s="1"/>
    </row>
    <row r="32" spans="1:7" x14ac:dyDescent="0.25">
      <c r="A32" s="1"/>
      <c r="B32" s="147" t="s">
        <v>143</v>
      </c>
      <c r="C32" s="148"/>
      <c r="D32" s="149"/>
      <c r="E32" s="78">
        <f>IF(AND(E9&gt;0,(E9+E24)&gt;0),0,IF(AND(E9&gt;0,(E9+E24)&lt;0),(E9+E24),IF(AND(E9&lt;0,E24&lt;0),E24,0)))</f>
        <v>-11233693.275588959</v>
      </c>
      <c r="F32" s="14" t="s">
        <v>3</v>
      </c>
      <c r="G32" s="1"/>
    </row>
    <row r="33" spans="1:7" x14ac:dyDescent="0.25">
      <c r="A33" s="1"/>
      <c r="B33" s="147" t="s">
        <v>102</v>
      </c>
      <c r="C33" s="148"/>
      <c r="D33" s="149"/>
      <c r="E33" s="9">
        <v>4</v>
      </c>
      <c r="F33" s="14" t="s">
        <v>20</v>
      </c>
      <c r="G33" s="1"/>
    </row>
    <row r="34" spans="1:7" x14ac:dyDescent="0.25">
      <c r="A34" s="1"/>
      <c r="B34" s="150" t="s">
        <v>144</v>
      </c>
      <c r="C34" s="150"/>
      <c r="D34" s="150"/>
      <c r="E34" s="77">
        <f>E32/E33</f>
        <v>-2808423.3188972399</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51"/>
      <c r="C41" s="51"/>
      <c r="D41" s="51"/>
      <c r="E41" s="51"/>
      <c r="F41" s="51"/>
    </row>
    <row r="42" spans="1:7" x14ac:dyDescent="0.25">
      <c r="A42" s="51"/>
      <c r="B42" s="51"/>
      <c r="C42" s="51"/>
      <c r="D42" s="51"/>
      <c r="E42" s="51"/>
      <c r="F42" s="51"/>
      <c r="G42" s="51"/>
    </row>
    <row r="43" spans="1:7" x14ac:dyDescent="0.25">
      <c r="A43" s="51"/>
      <c r="B43" s="51"/>
      <c r="C43" s="51"/>
      <c r="D43" s="51"/>
      <c r="E43" s="51"/>
      <c r="F43" s="51"/>
      <c r="G43" s="51"/>
    </row>
  </sheetData>
  <sheetProtection algorithmName="SHA-512" hashValue="c9EX+KLrY2DK51Qipif7eT0S/Q02CwB5e8z4DK7GnRcfIdgT8qVgtvSWfbPp6u+qh6hfdGt5e531ux4I92c1OQ==" saltValue="c2buwD1WKQViwnPfKjx6v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1" customWidth="1"/>
    <col min="2" max="2" width="22.5703125" style="71" customWidth="1"/>
    <col min="3" max="3" width="8.28515625" style="71" customWidth="1"/>
    <col min="4" max="6" width="10.7109375" style="71" customWidth="1"/>
    <col min="7" max="7" width="11.140625" style="71" customWidth="1"/>
    <col min="8" max="8" width="3.28515625" style="71" customWidth="1"/>
    <col min="9" max="9" width="4.85546875" style="71" customWidth="1"/>
    <col min="10" max="16384" width="9.140625" style="7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264</v>
      </c>
      <c r="C8" s="126"/>
      <c r="D8" s="126"/>
      <c r="E8" s="126"/>
      <c r="F8" s="126"/>
      <c r="G8" s="126"/>
      <c r="H8" s="127"/>
      <c r="I8" s="1"/>
    </row>
    <row r="9" spans="1:9" ht="15" customHeight="1" x14ac:dyDescent="0.25">
      <c r="A9" s="1"/>
      <c r="B9" s="122" t="s">
        <v>253</v>
      </c>
      <c r="C9" s="123"/>
      <c r="D9" s="123"/>
      <c r="E9" s="123"/>
      <c r="F9" s="123"/>
      <c r="G9" s="123"/>
      <c r="H9" s="124"/>
      <c r="I9" s="1"/>
    </row>
    <row r="10" spans="1:9" x14ac:dyDescent="0.25">
      <c r="A10" s="1"/>
      <c r="B10" s="155" t="s">
        <v>285</v>
      </c>
      <c r="C10" s="156"/>
      <c r="D10" s="156"/>
      <c r="E10" s="156"/>
      <c r="F10" s="157"/>
      <c r="G10" s="9">
        <v>0</v>
      </c>
      <c r="H10" s="9" t="s">
        <v>3</v>
      </c>
      <c r="I10" s="1"/>
    </row>
    <row r="11" spans="1:9" x14ac:dyDescent="0.25">
      <c r="A11" s="1"/>
      <c r="B11" s="155" t="s">
        <v>286</v>
      </c>
      <c r="C11" s="156"/>
      <c r="D11" s="156"/>
      <c r="E11" s="156"/>
      <c r="F11" s="157"/>
      <c r="G11" s="9">
        <v>0</v>
      </c>
      <c r="H11" s="9" t="s">
        <v>3</v>
      </c>
      <c r="I11" s="1"/>
    </row>
    <row r="12" spans="1:9" x14ac:dyDescent="0.25">
      <c r="A12" s="1"/>
      <c r="B12" s="155" t="s">
        <v>287</v>
      </c>
      <c r="C12" s="156"/>
      <c r="D12" s="156"/>
      <c r="E12" s="156"/>
      <c r="F12" s="157"/>
      <c r="G12" s="9">
        <v>0</v>
      </c>
      <c r="H12" s="9" t="s">
        <v>3</v>
      </c>
      <c r="I12" s="1"/>
    </row>
    <row r="13" spans="1:9" x14ac:dyDescent="0.25">
      <c r="A13" s="1"/>
      <c r="B13" s="155" t="s">
        <v>288</v>
      </c>
      <c r="C13" s="156"/>
      <c r="D13" s="156"/>
      <c r="E13" s="156"/>
      <c r="F13" s="157"/>
      <c r="G13" s="9">
        <v>0</v>
      </c>
      <c r="H13" s="9" t="s">
        <v>3</v>
      </c>
      <c r="I13" s="1"/>
    </row>
    <row r="14" spans="1:9" x14ac:dyDescent="0.25">
      <c r="A14" s="1"/>
      <c r="B14" s="155" t="s">
        <v>289</v>
      </c>
      <c r="C14" s="156"/>
      <c r="D14" s="156"/>
      <c r="E14" s="156"/>
      <c r="F14" s="157"/>
      <c r="G14" s="9">
        <v>0</v>
      </c>
      <c r="H14" s="9" t="s">
        <v>3</v>
      </c>
      <c r="I14" s="1"/>
    </row>
    <row r="15" spans="1:9" x14ac:dyDescent="0.25">
      <c r="A15" s="1"/>
      <c r="B15" s="155" t="s">
        <v>290</v>
      </c>
      <c r="C15" s="156"/>
      <c r="D15" s="156"/>
      <c r="E15" s="156"/>
      <c r="F15" s="157"/>
      <c r="G15" s="9">
        <v>0</v>
      </c>
      <c r="H15" s="9" t="s">
        <v>3</v>
      </c>
      <c r="I15" s="1"/>
    </row>
    <row r="16" spans="1:9" x14ac:dyDescent="0.25">
      <c r="A16" s="1"/>
      <c r="B16" s="155" t="s">
        <v>291</v>
      </c>
      <c r="C16" s="156"/>
      <c r="D16" s="156"/>
      <c r="E16" s="156"/>
      <c r="F16" s="157"/>
      <c r="G16" s="9">
        <v>0</v>
      </c>
      <c r="H16" s="9" t="s">
        <v>3</v>
      </c>
      <c r="I16" s="1"/>
    </row>
    <row r="17" spans="1:9" x14ac:dyDescent="0.25">
      <c r="A17" s="1"/>
      <c r="B17" s="155" t="s">
        <v>292</v>
      </c>
      <c r="C17" s="156"/>
      <c r="D17" s="156"/>
      <c r="E17" s="156"/>
      <c r="F17" s="157"/>
      <c r="G17" s="9">
        <v>0</v>
      </c>
      <c r="H17" s="9" t="s">
        <v>3</v>
      </c>
      <c r="I17" s="1"/>
    </row>
    <row r="18" spans="1:9" x14ac:dyDescent="0.25">
      <c r="A18" s="1"/>
      <c r="B18" s="125" t="s">
        <v>254</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5z56PQTZfSYnq6V1OB3M4XE5ZD48syaiVg76y3TUEXU53l6e4VKggYQ6zxjfOlTEM81pKiFOmuCuhWU3Fl7s2Q==" saltValue="4a6UTszVSQ6qa2j/3c6xLQ=="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256</v>
      </c>
      <c r="C3" s="133"/>
      <c r="D3" s="133"/>
      <c r="E3" s="133"/>
      <c r="F3" s="133"/>
      <c r="G3" s="1"/>
    </row>
    <row r="4" spans="1:7" ht="1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209</v>
      </c>
      <c r="C9" s="126"/>
      <c r="D9" s="126"/>
      <c r="E9" s="126"/>
      <c r="F9" s="127"/>
      <c r="G9" s="1"/>
    </row>
    <row r="10" spans="1:7" x14ac:dyDescent="0.25">
      <c r="A10" s="1"/>
      <c r="B10" s="128" t="s">
        <v>100</v>
      </c>
      <c r="C10" s="129"/>
      <c r="D10" s="130"/>
      <c r="E10" s="7">
        <v>0</v>
      </c>
      <c r="F10" s="8" t="s">
        <v>3</v>
      </c>
      <c r="G10" s="1"/>
    </row>
    <row r="11" spans="1:7" x14ac:dyDescent="0.25">
      <c r="A11" s="1"/>
      <c r="B11" s="134" t="s">
        <v>210</v>
      </c>
      <c r="C11" s="135"/>
      <c r="D11" s="136"/>
      <c r="E11" s="7">
        <v>0</v>
      </c>
      <c r="F11" s="8" t="s">
        <v>3</v>
      </c>
      <c r="G11" s="1"/>
    </row>
    <row r="12" spans="1:7" x14ac:dyDescent="0.25">
      <c r="A12" s="1"/>
      <c r="B12" s="131" t="s">
        <v>101</v>
      </c>
      <c r="C12" s="132"/>
      <c r="D12" s="154"/>
      <c r="E12" s="10">
        <f>E11-E10</f>
        <v>0</v>
      </c>
      <c r="F12" s="11" t="s">
        <v>3</v>
      </c>
      <c r="G12" s="1"/>
    </row>
    <row r="13" spans="1:7" x14ac:dyDescent="0.25">
      <c r="A13" s="1"/>
      <c r="B13" s="125" t="s">
        <v>94</v>
      </c>
      <c r="C13" s="126"/>
      <c r="D13" s="126"/>
      <c r="E13" s="126"/>
      <c r="F13" s="127"/>
      <c r="G13" s="1"/>
    </row>
    <row r="14" spans="1:7" x14ac:dyDescent="0.25">
      <c r="A14" s="1"/>
      <c r="B14" s="134" t="s">
        <v>211</v>
      </c>
      <c r="C14" s="135"/>
      <c r="D14" s="136"/>
      <c r="E14" s="9">
        <v>1886775</v>
      </c>
      <c r="F14" s="8" t="s">
        <v>3</v>
      </c>
      <c r="G14" s="1"/>
    </row>
    <row r="15" spans="1:7" x14ac:dyDescent="0.25">
      <c r="A15" s="1"/>
      <c r="B15" s="128" t="s">
        <v>212</v>
      </c>
      <c r="C15" s="129"/>
      <c r="D15" s="130"/>
      <c r="E15" s="9">
        <v>378350.42000000004</v>
      </c>
      <c r="F15" s="8" t="s">
        <v>3</v>
      </c>
      <c r="G15" s="1"/>
    </row>
    <row r="16" spans="1:7" x14ac:dyDescent="0.25">
      <c r="A16" s="1"/>
      <c r="B16" s="131" t="s">
        <v>101</v>
      </c>
      <c r="C16" s="132"/>
      <c r="D16" s="154"/>
      <c r="E16" s="10">
        <f>E15-E14</f>
        <v>-1508424.58</v>
      </c>
      <c r="F16" s="11" t="s">
        <v>3</v>
      </c>
      <c r="G16" s="1"/>
    </row>
    <row r="17" spans="1:7" x14ac:dyDescent="0.25">
      <c r="A17" s="1"/>
      <c r="B17" s="33" t="s">
        <v>213</v>
      </c>
      <c r="C17" s="28"/>
      <c r="D17" s="28"/>
      <c r="E17" s="12">
        <f>E12+E16</f>
        <v>-1508424.58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Qn7AX7R6QgsVBtMkR7novjyOuLNf/lmqqq0b6tkQzFN/pMjAtMzFouC+0KAttA5nNmTi8YwGi4jLKo3mMq5AA==" saltValue="IxtSauS9XEhY8GSe+aIdE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37"/>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85546875" style="2" customWidth="1"/>
    <col min="10" max="10" width="9.140625" style="2" customWidth="1"/>
    <col min="11" max="11" width="2.710937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221</v>
      </c>
      <c r="C8" s="126"/>
      <c r="D8" s="126"/>
      <c r="E8" s="126"/>
      <c r="F8" s="126"/>
      <c r="G8" s="126"/>
      <c r="H8" s="126"/>
      <c r="I8" s="126"/>
      <c r="J8" s="126"/>
      <c r="K8" s="127"/>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277</v>
      </c>
      <c r="C10" s="75">
        <v>5</v>
      </c>
      <c r="D10" s="9">
        <v>218557</v>
      </c>
      <c r="E10" s="14" t="s">
        <v>3</v>
      </c>
      <c r="F10" s="9">
        <f>IFERROR(D10/C10,0)</f>
        <v>43711.4</v>
      </c>
      <c r="G10" s="14" t="s">
        <v>3</v>
      </c>
      <c r="H10" s="44">
        <v>0</v>
      </c>
      <c r="I10" s="14" t="s">
        <v>3</v>
      </c>
      <c r="J10" s="44">
        <v>2033</v>
      </c>
      <c r="K10" s="14" t="s">
        <v>3</v>
      </c>
      <c r="L10" s="1"/>
    </row>
    <row r="11" spans="1:12" x14ac:dyDescent="0.25">
      <c r="A11" s="1"/>
      <c r="B11" s="95" t="s">
        <v>277</v>
      </c>
      <c r="C11" s="75">
        <v>5</v>
      </c>
      <c r="D11" s="9">
        <v>203775</v>
      </c>
      <c r="E11" s="14" t="s">
        <v>3</v>
      </c>
      <c r="F11" s="9">
        <f t="shared" ref="F11:F23" si="0">IFERROR(D11/C11,0)</f>
        <v>40755</v>
      </c>
      <c r="G11" s="14" t="s">
        <v>3</v>
      </c>
      <c r="H11" s="44">
        <v>0</v>
      </c>
      <c r="I11" s="14" t="s">
        <v>3</v>
      </c>
      <c r="J11" s="44">
        <v>1895</v>
      </c>
      <c r="K11" s="14" t="s">
        <v>3</v>
      </c>
      <c r="L11" s="1"/>
    </row>
    <row r="12" spans="1:12" x14ac:dyDescent="0.25">
      <c r="A12" s="1"/>
      <c r="B12" s="95" t="s">
        <v>277</v>
      </c>
      <c r="C12" s="75">
        <v>5</v>
      </c>
      <c r="D12" s="9">
        <v>160376</v>
      </c>
      <c r="E12" s="14" t="s">
        <v>3</v>
      </c>
      <c r="F12" s="9">
        <f t="shared" si="0"/>
        <v>32075.200000000001</v>
      </c>
      <c r="G12" s="14" t="s">
        <v>3</v>
      </c>
      <c r="H12" s="44">
        <v>0</v>
      </c>
      <c r="I12" s="14" t="s">
        <v>3</v>
      </c>
      <c r="J12" s="44">
        <v>1492</v>
      </c>
      <c r="K12" s="14" t="s">
        <v>3</v>
      </c>
      <c r="L12" s="1"/>
    </row>
    <row r="13" spans="1:12" x14ac:dyDescent="0.25">
      <c r="A13" s="1"/>
      <c r="B13" s="95" t="s">
        <v>277</v>
      </c>
      <c r="C13" s="75">
        <v>5</v>
      </c>
      <c r="D13" s="9">
        <v>712179</v>
      </c>
      <c r="E13" s="14" t="s">
        <v>3</v>
      </c>
      <c r="F13" s="9">
        <f t="shared" si="0"/>
        <v>142435.79999999999</v>
      </c>
      <c r="G13" s="14" t="s">
        <v>3</v>
      </c>
      <c r="H13" s="44">
        <v>0</v>
      </c>
      <c r="I13" s="14" t="s">
        <v>3</v>
      </c>
      <c r="J13" s="44">
        <v>6623</v>
      </c>
      <c r="K13" s="14" t="s">
        <v>3</v>
      </c>
      <c r="L13" s="1"/>
    </row>
    <row r="14" spans="1:12" x14ac:dyDescent="0.25">
      <c r="A14" s="1"/>
      <c r="B14" s="95" t="s">
        <v>277</v>
      </c>
      <c r="C14" s="75">
        <v>5</v>
      </c>
      <c r="D14" s="9">
        <v>320151</v>
      </c>
      <c r="E14" s="14" t="s">
        <v>3</v>
      </c>
      <c r="F14" s="9">
        <f t="shared" si="0"/>
        <v>64030.2</v>
      </c>
      <c r="G14" s="14" t="s">
        <v>3</v>
      </c>
      <c r="H14" s="44">
        <v>0</v>
      </c>
      <c r="I14" s="14" t="s">
        <v>3</v>
      </c>
      <c r="J14" s="44">
        <v>2977</v>
      </c>
      <c r="K14" s="14" t="s">
        <v>3</v>
      </c>
      <c r="L14" s="1"/>
    </row>
    <row r="15" spans="1:12" x14ac:dyDescent="0.25">
      <c r="A15" s="1"/>
      <c r="B15" s="95" t="s">
        <v>277</v>
      </c>
      <c r="C15" s="75">
        <v>5</v>
      </c>
      <c r="D15" s="9">
        <v>2456584</v>
      </c>
      <c r="E15" s="14" t="s">
        <v>3</v>
      </c>
      <c r="F15" s="9">
        <f t="shared" si="0"/>
        <v>491316.8</v>
      </c>
      <c r="G15" s="14" t="s">
        <v>3</v>
      </c>
      <c r="H15" s="44">
        <v>0</v>
      </c>
      <c r="I15" s="14" t="s">
        <v>3</v>
      </c>
      <c r="J15" s="44">
        <v>22846</v>
      </c>
      <c r="K15" s="14" t="s">
        <v>3</v>
      </c>
      <c r="L15" s="1"/>
    </row>
    <row r="16" spans="1:12" ht="64.5" x14ac:dyDescent="0.25">
      <c r="A16" s="1"/>
      <c r="B16" s="95" t="s">
        <v>278</v>
      </c>
      <c r="C16" s="75">
        <v>75</v>
      </c>
      <c r="D16" s="9">
        <v>1864500</v>
      </c>
      <c r="E16" s="14" t="s">
        <v>3</v>
      </c>
      <c r="F16" s="9">
        <f t="shared" si="0"/>
        <v>24860</v>
      </c>
      <c r="G16" s="14" t="s">
        <v>3</v>
      </c>
      <c r="H16" s="44">
        <v>7458</v>
      </c>
      <c r="I16" s="14" t="s">
        <v>3</v>
      </c>
      <c r="J16" s="44">
        <v>17340</v>
      </c>
      <c r="K16" s="14" t="s">
        <v>3</v>
      </c>
      <c r="L16" s="1"/>
    </row>
    <row r="17" spans="1:12" ht="39" x14ac:dyDescent="0.25">
      <c r="A17" s="1"/>
      <c r="B17" s="95" t="s">
        <v>279</v>
      </c>
      <c r="C17" s="75">
        <v>75</v>
      </c>
      <c r="D17" s="9">
        <v>26709645</v>
      </c>
      <c r="E17" s="14" t="s">
        <v>3</v>
      </c>
      <c r="F17" s="9">
        <f t="shared" si="0"/>
        <v>356128.6</v>
      </c>
      <c r="G17" s="14" t="s">
        <v>3</v>
      </c>
      <c r="H17" s="44">
        <v>106839</v>
      </c>
      <c r="I17" s="14" t="s">
        <v>3</v>
      </c>
      <c r="J17" s="44">
        <v>248400</v>
      </c>
      <c r="K17" s="14" t="s">
        <v>3</v>
      </c>
      <c r="L17" s="1"/>
    </row>
    <row r="18" spans="1:12" x14ac:dyDescent="0.25">
      <c r="A18" s="1"/>
      <c r="B18" s="95" t="s">
        <v>280</v>
      </c>
      <c r="C18" s="75">
        <v>75</v>
      </c>
      <c r="D18" s="9">
        <v>1435860</v>
      </c>
      <c r="E18" s="14" t="s">
        <v>3</v>
      </c>
      <c r="F18" s="9">
        <f t="shared" si="0"/>
        <v>19144.8</v>
      </c>
      <c r="G18" s="14" t="s">
        <v>3</v>
      </c>
      <c r="H18" s="44">
        <v>5743</v>
      </c>
      <c r="I18" s="14" t="s">
        <v>3</v>
      </c>
      <c r="J18" s="44">
        <v>13354</v>
      </c>
      <c r="K18" s="14" t="s">
        <v>3</v>
      </c>
      <c r="L18" s="1"/>
    </row>
    <row r="19" spans="1:12" x14ac:dyDescent="0.25">
      <c r="A19" s="1"/>
      <c r="B19" s="95" t="s">
        <v>281</v>
      </c>
      <c r="C19" s="75">
        <v>75</v>
      </c>
      <c r="D19" s="9">
        <v>24233653</v>
      </c>
      <c r="E19" s="14" t="s">
        <v>3</v>
      </c>
      <c r="F19" s="9">
        <f t="shared" si="0"/>
        <v>323115.37333333335</v>
      </c>
      <c r="G19" s="14" t="s">
        <v>3</v>
      </c>
      <c r="H19" s="44">
        <v>242337</v>
      </c>
      <c r="I19" s="14" t="s">
        <v>3</v>
      </c>
      <c r="J19" s="44">
        <v>225373</v>
      </c>
      <c r="K19" s="14" t="s">
        <v>3</v>
      </c>
      <c r="L19" s="1"/>
    </row>
    <row r="20" spans="1:12" ht="39" x14ac:dyDescent="0.25">
      <c r="A20" s="1"/>
      <c r="B20" s="95" t="s">
        <v>282</v>
      </c>
      <c r="C20" s="75">
        <v>20</v>
      </c>
      <c r="D20" s="9">
        <v>5825259</v>
      </c>
      <c r="E20" s="14" t="s">
        <v>3</v>
      </c>
      <c r="F20" s="9">
        <f t="shared" si="0"/>
        <v>291262.95</v>
      </c>
      <c r="G20" s="14" t="s">
        <v>3</v>
      </c>
      <c r="H20" s="44">
        <v>100546</v>
      </c>
      <c r="I20" s="14" t="s">
        <v>3</v>
      </c>
      <c r="J20" s="44">
        <v>54175</v>
      </c>
      <c r="K20" s="14" t="s">
        <v>3</v>
      </c>
      <c r="L20" s="1"/>
    </row>
    <row r="21" spans="1:12" ht="39" x14ac:dyDescent="0.25">
      <c r="A21" s="1"/>
      <c r="B21" s="95" t="s">
        <v>282</v>
      </c>
      <c r="C21" s="75">
        <v>20</v>
      </c>
      <c r="D21" s="9">
        <v>14173492</v>
      </c>
      <c r="E21" s="14" t="s">
        <v>3</v>
      </c>
      <c r="F21" s="9">
        <f t="shared" si="0"/>
        <v>708674.6</v>
      </c>
      <c r="G21" s="14" t="s">
        <v>3</v>
      </c>
      <c r="H21" s="44">
        <v>212602</v>
      </c>
      <c r="I21" s="14" t="s">
        <v>3</v>
      </c>
      <c r="J21" s="44">
        <v>131813</v>
      </c>
      <c r="K21" s="14" t="s">
        <v>3</v>
      </c>
      <c r="L21" s="1"/>
    </row>
    <row r="22" spans="1:12" ht="39" x14ac:dyDescent="0.25">
      <c r="A22" s="1"/>
      <c r="B22" s="95" t="s">
        <v>283</v>
      </c>
      <c r="C22" s="75">
        <v>10</v>
      </c>
      <c r="D22" s="9">
        <v>1538211</v>
      </c>
      <c r="E22" s="14" t="s">
        <v>3</v>
      </c>
      <c r="F22" s="9">
        <f t="shared" si="0"/>
        <v>153821.1</v>
      </c>
      <c r="G22" s="14" t="s">
        <v>3</v>
      </c>
      <c r="H22" s="44">
        <v>30764</v>
      </c>
      <c r="I22" s="14" t="s">
        <v>3</v>
      </c>
      <c r="J22" s="44">
        <v>14305</v>
      </c>
      <c r="K22" s="14" t="s">
        <v>3</v>
      </c>
      <c r="L22" s="1"/>
    </row>
    <row r="23" spans="1:12" ht="39" x14ac:dyDescent="0.25">
      <c r="A23" s="1"/>
      <c r="B23" s="95" t="s">
        <v>284</v>
      </c>
      <c r="C23" s="75">
        <v>20</v>
      </c>
      <c r="D23" s="9">
        <v>6856486</v>
      </c>
      <c r="E23" s="14" t="s">
        <v>3</v>
      </c>
      <c r="F23" s="9">
        <f t="shared" si="0"/>
        <v>342824.3</v>
      </c>
      <c r="G23" s="14" t="s">
        <v>3</v>
      </c>
      <c r="H23" s="44">
        <v>85706</v>
      </c>
      <c r="I23" s="14" t="s">
        <v>3</v>
      </c>
      <c r="J23" s="44">
        <v>63765</v>
      </c>
      <c r="K23" s="14" t="s">
        <v>3</v>
      </c>
      <c r="L23" s="1"/>
    </row>
    <row r="24" spans="1:12" x14ac:dyDescent="0.25">
      <c r="A24" s="1"/>
      <c r="B24" s="84" t="s">
        <v>222</v>
      </c>
      <c r="C24" s="85"/>
      <c r="D24" s="86"/>
      <c r="E24" s="86"/>
      <c r="F24" s="12">
        <f>SUM(F10:F23)</f>
        <v>3034156.1233333331</v>
      </c>
      <c r="G24" s="12" t="s">
        <v>245</v>
      </c>
      <c r="H24" s="12">
        <f>SUM(H10:H23)</f>
        <v>791995</v>
      </c>
      <c r="I24" s="12" t="s">
        <v>245</v>
      </c>
      <c r="J24" s="12">
        <f>SUM(J10:J23)</f>
        <v>806391</v>
      </c>
      <c r="K24" s="13" t="s">
        <v>3</v>
      </c>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sheetData>
  <sheetProtection algorithmName="SHA-512" hashValue="y7sMUEXdHTFI0MlRVSJtGMKeUJYQHr3NG2LBajPDbuWDqInWcP7dqwl1jkSvcAsMd4DB1ri5rfA8qto9IOhwxw==" saltValue="ktMywat7rsF8Mwm90stil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2" t="s">
        <v>17</v>
      </c>
      <c r="C9" s="82" t="s">
        <v>11</v>
      </c>
      <c r="D9" s="83"/>
      <c r="E9" s="82" t="s">
        <v>31</v>
      </c>
      <c r="F9" s="32"/>
      <c r="G9" s="1"/>
    </row>
    <row r="10" spans="1:7" x14ac:dyDescent="0.25">
      <c r="A10" s="1"/>
      <c r="B10" s="24" t="s">
        <v>228</v>
      </c>
      <c r="C10" s="21">
        <f>'Fane 10. Anlægsprojekter (§ 19)'!H24</f>
        <v>791995</v>
      </c>
      <c r="D10" s="14" t="s">
        <v>3</v>
      </c>
      <c r="E10" s="9">
        <f>SUM('Fane 10. Anlægsprojekter (§ 19)'!F24,'Fane 10. Anlægsprojekter (§ 19)'!J24)</f>
        <v>3840547.1233333331</v>
      </c>
      <c r="F10" s="14" t="s">
        <v>3</v>
      </c>
      <c r="G10" s="1"/>
    </row>
    <row r="11" spans="1:7" x14ac:dyDescent="0.25">
      <c r="A11" s="1"/>
      <c r="B11" s="24" t="s">
        <v>274</v>
      </c>
      <c r="C11" s="21">
        <v>745808</v>
      </c>
      <c r="D11" s="14" t="s">
        <v>3</v>
      </c>
      <c r="E11" s="9">
        <v>4886885</v>
      </c>
      <c r="F11" s="14" t="s">
        <v>3</v>
      </c>
      <c r="G11" s="1"/>
    </row>
    <row r="12" spans="1:7" x14ac:dyDescent="0.25">
      <c r="A12" s="1"/>
      <c r="B12" s="24" t="s">
        <v>275</v>
      </c>
      <c r="C12" s="21">
        <v>1462826</v>
      </c>
      <c r="D12" s="14" t="s">
        <v>3</v>
      </c>
      <c r="E12" s="9">
        <v>1345872</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156</v>
      </c>
      <c r="C19" s="12">
        <f>SUM(C10:C18)</f>
        <v>3000629</v>
      </c>
      <c r="D19" s="13" t="s">
        <v>3</v>
      </c>
      <c r="E19" s="12">
        <f>SUM(E10:E18)</f>
        <v>10073304.123333333</v>
      </c>
      <c r="F19" s="13" t="s">
        <v>3</v>
      </c>
      <c r="G19" s="1"/>
    </row>
    <row r="20" spans="1:7" x14ac:dyDescent="0.25">
      <c r="A20" s="1"/>
      <c r="B20" s="33" t="s">
        <v>214</v>
      </c>
      <c r="C20" s="12">
        <f>C19*(1+'Fane 15. Nøgletal'!C15)</f>
        <v>3107451.3924000002</v>
      </c>
      <c r="D20" s="13" t="s">
        <v>3</v>
      </c>
      <c r="E20" s="12">
        <f>E19*(1+'Fane 15. Nøgletal'!C15)</f>
        <v>10431913.750124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8zkLQkggV7tn+ox0hBC+UjE+oYUESyL2cGL/Xig2814f/943iPtS4Ken2QfIoLZAvHX/Ew6+q1p1rzOPvR+Sw==" saltValue="HrKWCAO/rkn3vMGRjsL0j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97</v>
      </c>
      <c r="C8" s="126"/>
      <c r="D8" s="126"/>
      <c r="E8" s="126"/>
      <c r="F8" s="127"/>
      <c r="G8" s="1"/>
    </row>
    <row r="9" spans="1:7" x14ac:dyDescent="0.25">
      <c r="A9" s="1"/>
      <c r="B9" s="82" t="s">
        <v>17</v>
      </c>
      <c r="C9" s="82" t="s">
        <v>11</v>
      </c>
      <c r="D9" s="83"/>
      <c r="E9" s="82" t="s">
        <v>31</v>
      </c>
      <c r="F9" s="32"/>
      <c r="G9" s="1"/>
    </row>
    <row r="10" spans="1:7" x14ac:dyDescent="0.25">
      <c r="A10" s="1"/>
      <c r="B10" s="24" t="s">
        <v>276</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136</v>
      </c>
      <c r="C14" s="12">
        <f>C13*(1+'Fane 15. Nøgletal'!C15)^2</f>
        <v>0</v>
      </c>
      <c r="D14" s="13" t="s">
        <v>3</v>
      </c>
      <c r="E14" s="12">
        <f>E13*(1+'Fane 15. Nøgletal'!C15)^2</f>
        <v>0</v>
      </c>
      <c r="F14" s="13" t="s">
        <v>3</v>
      </c>
      <c r="G14" s="1"/>
    </row>
    <row r="15" spans="1:7" x14ac:dyDescent="0.25">
      <c r="A15" s="1"/>
      <c r="B15" s="1"/>
      <c r="C15" s="1"/>
      <c r="D15" s="1"/>
      <c r="E15" s="1"/>
      <c r="F15" s="1"/>
      <c r="G15" s="1"/>
    </row>
    <row r="16" spans="1:7" x14ac:dyDescent="0.25">
      <c r="A16" s="1"/>
      <c r="B16" s="160"/>
      <c r="C16" s="160"/>
      <c r="D16" s="160"/>
      <c r="E16" s="160"/>
      <c r="F16" s="160"/>
      <c r="G16" s="1"/>
    </row>
    <row r="17" spans="1:7" x14ac:dyDescent="0.25">
      <c r="A17" s="1"/>
      <c r="B17" s="62"/>
      <c r="C17" s="62"/>
      <c r="D17" s="62"/>
      <c r="E17" s="62"/>
      <c r="F17" s="63"/>
      <c r="G17" s="1"/>
    </row>
    <row r="18" spans="1:7" x14ac:dyDescent="0.25">
      <c r="A18" s="1"/>
      <c r="B18" s="64"/>
      <c r="C18" s="65"/>
      <c r="D18" s="66"/>
      <c r="E18" s="67"/>
      <c r="F18" s="66"/>
      <c r="G18" s="1"/>
    </row>
    <row r="19" spans="1:7" x14ac:dyDescent="0.25">
      <c r="A19" s="1"/>
      <c r="B19" s="64"/>
      <c r="C19" s="65"/>
      <c r="D19" s="66"/>
      <c r="E19" s="67"/>
      <c r="F19" s="66"/>
      <c r="G19" s="1"/>
    </row>
    <row r="20" spans="1:7" x14ac:dyDescent="0.25">
      <c r="A20" s="1"/>
      <c r="B20" s="68"/>
      <c r="C20" s="69"/>
      <c r="D20" s="70"/>
      <c r="E20" s="69"/>
      <c r="F20" s="70"/>
      <c r="G20" s="1"/>
    </row>
    <row r="21" spans="1:7" x14ac:dyDescent="0.25">
      <c r="A21" s="1"/>
      <c r="B21" s="68"/>
      <c r="C21" s="69"/>
      <c r="D21" s="70"/>
      <c r="E21" s="69"/>
      <c r="F21" s="70"/>
      <c r="G21" s="1"/>
    </row>
    <row r="22" spans="1:7" x14ac:dyDescent="0.25">
      <c r="A22" s="1"/>
      <c r="B22" s="61"/>
      <c r="C22" s="61"/>
      <c r="D22" s="61"/>
      <c r="E22" s="61"/>
      <c r="F22" s="61"/>
      <c r="G22" s="1"/>
    </row>
    <row r="23" spans="1:7" x14ac:dyDescent="0.25">
      <c r="A23" s="1"/>
      <c r="B23" s="160"/>
      <c r="C23" s="160"/>
      <c r="D23" s="160"/>
      <c r="E23" s="160"/>
      <c r="F23" s="160"/>
      <c r="G23" s="1"/>
    </row>
    <row r="24" spans="1:7" x14ac:dyDescent="0.25">
      <c r="A24" s="1"/>
      <c r="B24" s="62"/>
      <c r="C24" s="62"/>
      <c r="D24" s="62"/>
      <c r="E24" s="62"/>
      <c r="F24" s="63"/>
      <c r="G24" s="1"/>
    </row>
    <row r="25" spans="1:7" x14ac:dyDescent="0.25">
      <c r="A25" s="1"/>
      <c r="B25" s="64"/>
      <c r="C25" s="65"/>
      <c r="D25" s="66"/>
      <c r="E25" s="67"/>
      <c r="F25" s="66"/>
      <c r="G25" s="1"/>
    </row>
    <row r="26" spans="1:7" x14ac:dyDescent="0.25">
      <c r="A26" s="1"/>
      <c r="B26" s="64"/>
      <c r="C26" s="65"/>
      <c r="D26" s="66"/>
      <c r="E26" s="67"/>
      <c r="F26" s="66"/>
      <c r="G26" s="1"/>
    </row>
    <row r="27" spans="1:7" x14ac:dyDescent="0.25">
      <c r="A27" s="1"/>
      <c r="B27" s="68"/>
      <c r="C27" s="69"/>
      <c r="D27" s="70"/>
      <c r="E27" s="69"/>
      <c r="F27" s="70"/>
      <c r="G27" s="1"/>
    </row>
    <row r="28" spans="1:7" x14ac:dyDescent="0.25">
      <c r="A28" s="1"/>
      <c r="B28" s="68"/>
      <c r="C28" s="69"/>
      <c r="D28" s="70"/>
      <c r="E28" s="69"/>
      <c r="F28" s="70"/>
      <c r="G28" s="1"/>
    </row>
    <row r="29" spans="1:7" x14ac:dyDescent="0.25">
      <c r="A29" s="1"/>
      <c r="B29" s="61"/>
      <c r="C29" s="61"/>
      <c r="D29" s="61"/>
      <c r="E29" s="61"/>
      <c r="F29" s="61"/>
      <c r="G29" s="1"/>
    </row>
    <row r="30" spans="1:7" x14ac:dyDescent="0.25">
      <c r="A30" s="1"/>
      <c r="B30" s="160"/>
      <c r="C30" s="160"/>
      <c r="D30" s="160"/>
      <c r="E30" s="160"/>
      <c r="F30" s="160"/>
      <c r="G30" s="1"/>
    </row>
    <row r="31" spans="1:7" x14ac:dyDescent="0.25">
      <c r="A31" s="1"/>
      <c r="B31" s="62"/>
      <c r="C31" s="62"/>
      <c r="D31" s="62"/>
      <c r="E31" s="62"/>
      <c r="F31" s="63"/>
      <c r="G31" s="1"/>
    </row>
    <row r="32" spans="1:7" x14ac:dyDescent="0.25">
      <c r="A32" s="1"/>
      <c r="B32" s="64"/>
      <c r="C32" s="65"/>
      <c r="D32" s="66"/>
      <c r="E32" s="67"/>
      <c r="F32" s="66"/>
      <c r="G32" s="1"/>
    </row>
    <row r="33" spans="1:7" x14ac:dyDescent="0.25">
      <c r="A33" s="1"/>
      <c r="B33" s="64"/>
      <c r="C33" s="65"/>
      <c r="D33" s="66"/>
      <c r="E33" s="67"/>
      <c r="F33" s="66"/>
      <c r="G33" s="1"/>
    </row>
    <row r="34" spans="1:7" x14ac:dyDescent="0.25">
      <c r="A34" s="1"/>
      <c r="B34" s="68"/>
      <c r="C34" s="69"/>
      <c r="D34" s="70"/>
      <c r="E34" s="69"/>
      <c r="F34" s="70"/>
      <c r="G34" s="1"/>
    </row>
    <row r="35" spans="1:7" x14ac:dyDescent="0.25">
      <c r="A35" s="1"/>
      <c r="B35" s="68"/>
      <c r="C35" s="69"/>
      <c r="D35" s="70"/>
      <c r="E35" s="69"/>
      <c r="F35" s="7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EYU00ZRMIP6BgvsCsU0+2XcyK/K4MDZHDziJFlxT2ay0Zzr4rVurQ/9Ld3Euf+sHdGP8VFwOW2ui+/IX7ybPg==" saltValue="VHjDKX8vIY9I9ENbjsxa7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260</v>
      </c>
      <c r="C3" s="133"/>
      <c r="D3" s="133"/>
      <c r="E3" s="133"/>
      <c r="F3" s="133"/>
      <c r="G3" s="1"/>
    </row>
    <row r="4" spans="1:7" ht="15" customHeight="1" x14ac:dyDescent="0.25">
      <c r="A4" s="1"/>
      <c r="B4" s="133"/>
      <c r="C4" s="133"/>
      <c r="D4" s="133"/>
      <c r="E4" s="133"/>
      <c r="F4" s="133"/>
      <c r="G4" s="1"/>
    </row>
    <row r="5" spans="1:7" x14ac:dyDescent="0.25">
      <c r="A5" s="1"/>
      <c r="B5" s="133"/>
      <c r="C5" s="133"/>
      <c r="D5" s="133"/>
      <c r="E5" s="133"/>
      <c r="F5" s="13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5" t="s">
        <v>91</v>
      </c>
      <c r="C9" s="126"/>
      <c r="D9" s="126"/>
      <c r="E9" s="126"/>
      <c r="F9" s="127"/>
      <c r="G9" s="1"/>
    </row>
    <row r="10" spans="1:7" x14ac:dyDescent="0.25">
      <c r="A10" s="1"/>
      <c r="B10" s="155" t="s">
        <v>226</v>
      </c>
      <c r="C10" s="156"/>
      <c r="D10" s="157"/>
      <c r="E10" s="9">
        <v>10122</v>
      </c>
      <c r="F10" s="14" t="s">
        <v>3</v>
      </c>
      <c r="G10" s="1"/>
    </row>
    <row r="11" spans="1:7" x14ac:dyDescent="0.25">
      <c r="A11" s="1"/>
      <c r="B11" s="119" t="s">
        <v>10</v>
      </c>
      <c r="C11" s="120"/>
      <c r="D11" s="121"/>
      <c r="E11" s="9">
        <f>-E10*'Fane 5. Individuelt eff. krav'!G9</f>
        <v>0</v>
      </c>
      <c r="F11" s="14" t="s">
        <v>3</v>
      </c>
      <c r="G11" s="1"/>
    </row>
    <row r="12" spans="1:7" x14ac:dyDescent="0.25">
      <c r="A12" s="1"/>
      <c r="B12" s="119" t="s">
        <v>24</v>
      </c>
      <c r="C12" s="120"/>
      <c r="D12" s="121"/>
      <c r="E12" s="9">
        <f>-E10*'Fane 15. Nøgletal'!C31</f>
        <v>-202.44</v>
      </c>
      <c r="F12" s="14" t="s">
        <v>3</v>
      </c>
      <c r="G12" s="1"/>
    </row>
    <row r="13" spans="1:7" x14ac:dyDescent="0.25">
      <c r="A13" s="1"/>
      <c r="B13" s="125" t="s">
        <v>92</v>
      </c>
      <c r="C13" s="126"/>
      <c r="D13" s="127"/>
      <c r="E13" s="12">
        <f>SUM(E10:E12)*(1+'Fane 15. Nøgletal'!C15)^2</f>
        <v>10638.4043255616</v>
      </c>
      <c r="F13" s="13" t="s">
        <v>3</v>
      </c>
      <c r="G13" s="1"/>
    </row>
    <row r="14" spans="1:7" x14ac:dyDescent="0.25">
      <c r="A14" s="1"/>
      <c r="B14" s="1"/>
      <c r="C14" s="1"/>
      <c r="D14" s="1"/>
      <c r="E14" s="1"/>
      <c r="F14" s="1"/>
      <c r="G14" s="1"/>
    </row>
    <row r="15" spans="1:7" ht="15" customHeight="1" x14ac:dyDescent="0.25">
      <c r="A15" s="1"/>
      <c r="B15" s="125" t="s">
        <v>130</v>
      </c>
      <c r="C15" s="126"/>
      <c r="D15" s="126"/>
      <c r="E15" s="126"/>
      <c r="F15" s="127"/>
      <c r="G15" s="1"/>
    </row>
    <row r="16" spans="1:7" x14ac:dyDescent="0.25">
      <c r="A16" s="1"/>
      <c r="B16" s="155" t="s">
        <v>226</v>
      </c>
      <c r="C16" s="156"/>
      <c r="D16" s="157"/>
      <c r="E16" s="9">
        <v>10122</v>
      </c>
      <c r="F16" s="14" t="s">
        <v>3</v>
      </c>
      <c r="G16" s="1"/>
    </row>
    <row r="17" spans="1:7" x14ac:dyDescent="0.25">
      <c r="A17" s="1"/>
      <c r="B17" s="119" t="s">
        <v>10</v>
      </c>
      <c r="C17" s="120"/>
      <c r="D17" s="121"/>
      <c r="E17" s="9">
        <f>-E16*'Fane 5. Individuelt eff. krav'!G9</f>
        <v>0</v>
      </c>
      <c r="F17" s="14" t="s">
        <v>3</v>
      </c>
      <c r="G17" s="1"/>
    </row>
    <row r="18" spans="1:7" x14ac:dyDescent="0.25">
      <c r="A18" s="1"/>
      <c r="B18" s="119" t="s">
        <v>24</v>
      </c>
      <c r="C18" s="120"/>
      <c r="D18" s="121"/>
      <c r="E18" s="9">
        <f>-E16*'Fane 15. Nøgletal'!C31</f>
        <v>-202.44</v>
      </c>
      <c r="F18" s="14" t="s">
        <v>3</v>
      </c>
      <c r="G18" s="1"/>
    </row>
    <row r="19" spans="1:7" x14ac:dyDescent="0.25">
      <c r="A19" s="1"/>
      <c r="B19" s="125" t="s">
        <v>131</v>
      </c>
      <c r="C19" s="126"/>
      <c r="D19" s="127"/>
      <c r="E19" s="12">
        <f>SUM(E16:E18)*(1+'Fane 15. Nøgletal'!C15)^3</f>
        <v>11017.131519551594</v>
      </c>
      <c r="F19" s="13" t="s">
        <v>3</v>
      </c>
      <c r="G19" s="1"/>
    </row>
    <row r="20" spans="1:7" x14ac:dyDescent="0.25">
      <c r="A20" s="1"/>
      <c r="B20" s="1"/>
      <c r="C20" s="1"/>
      <c r="D20" s="1"/>
      <c r="E20" s="1"/>
      <c r="F20" s="1"/>
      <c r="G20" s="1"/>
    </row>
    <row r="21" spans="1:7" ht="15" customHeight="1" x14ac:dyDescent="0.25">
      <c r="A21" s="1"/>
      <c r="B21" s="125" t="s">
        <v>157</v>
      </c>
      <c r="C21" s="126"/>
      <c r="D21" s="126"/>
      <c r="E21" s="126"/>
      <c r="F21" s="127"/>
      <c r="G21" s="1"/>
    </row>
    <row r="22" spans="1:7" x14ac:dyDescent="0.25">
      <c r="A22" s="1"/>
      <c r="B22" s="155" t="s">
        <v>226</v>
      </c>
      <c r="C22" s="156"/>
      <c r="D22" s="157"/>
      <c r="E22" s="9">
        <v>10122</v>
      </c>
      <c r="F22" s="14" t="s">
        <v>3</v>
      </c>
      <c r="G22" s="1"/>
    </row>
    <row r="23" spans="1:7" x14ac:dyDescent="0.25">
      <c r="A23" s="1"/>
      <c r="B23" s="119" t="s">
        <v>10</v>
      </c>
      <c r="C23" s="120"/>
      <c r="D23" s="121"/>
      <c r="E23" s="9">
        <f>-E22*'Fane 5. Individuelt eff. krav'!G9</f>
        <v>0</v>
      </c>
      <c r="F23" s="14" t="s">
        <v>3</v>
      </c>
      <c r="G23" s="1"/>
    </row>
    <row r="24" spans="1:7" x14ac:dyDescent="0.25">
      <c r="A24" s="1"/>
      <c r="B24" s="119" t="s">
        <v>24</v>
      </c>
      <c r="C24" s="120"/>
      <c r="D24" s="121"/>
      <c r="E24" s="9">
        <f>-E22*'Fane 15. Nøgletal'!C31</f>
        <v>-202.44</v>
      </c>
      <c r="F24" s="14" t="s">
        <v>3</v>
      </c>
      <c r="G24" s="1"/>
    </row>
    <row r="25" spans="1:7" x14ac:dyDescent="0.25">
      <c r="A25" s="1"/>
      <c r="B25" s="125" t="s">
        <v>158</v>
      </c>
      <c r="C25" s="126"/>
      <c r="D25" s="127"/>
      <c r="E25" s="12">
        <f>SUM(E22:E24)*(1+'Fane 15. Nøgletal'!C15)^4</f>
        <v>11409.341401647631</v>
      </c>
      <c r="F25" s="13" t="s">
        <v>3</v>
      </c>
      <c r="G25" s="1"/>
    </row>
    <row r="26" spans="1:7" x14ac:dyDescent="0.25">
      <c r="A26" s="1"/>
      <c r="B26" s="1"/>
      <c r="C26" s="1"/>
      <c r="D26" s="1"/>
      <c r="E26" s="1"/>
      <c r="F26" s="1"/>
      <c r="G26" s="1"/>
    </row>
    <row r="27" spans="1:7" ht="15" customHeight="1" x14ac:dyDescent="0.25">
      <c r="A27" s="1"/>
      <c r="B27" s="125" t="s">
        <v>215</v>
      </c>
      <c r="C27" s="126"/>
      <c r="D27" s="126"/>
      <c r="E27" s="126"/>
      <c r="F27" s="127"/>
      <c r="G27" s="1"/>
    </row>
    <row r="28" spans="1:7" ht="14.25" customHeight="1" x14ac:dyDescent="0.25">
      <c r="A28" s="1"/>
      <c r="B28" s="155" t="s">
        <v>226</v>
      </c>
      <c r="C28" s="156"/>
      <c r="D28" s="157"/>
      <c r="E28" s="9">
        <v>10122</v>
      </c>
      <c r="F28" s="14" t="s">
        <v>3</v>
      </c>
      <c r="G28" s="1"/>
    </row>
    <row r="29" spans="1:7" x14ac:dyDescent="0.25">
      <c r="A29" s="1"/>
      <c r="B29" s="119" t="s">
        <v>10</v>
      </c>
      <c r="C29" s="120"/>
      <c r="D29" s="121"/>
      <c r="E29" s="9">
        <f>-E28*'Fane 5. Individuelt eff. krav'!G9</f>
        <v>0</v>
      </c>
      <c r="F29" s="14" t="s">
        <v>3</v>
      </c>
      <c r="G29" s="1"/>
    </row>
    <row r="30" spans="1:7" x14ac:dyDescent="0.25">
      <c r="A30" s="1"/>
      <c r="B30" s="119" t="s">
        <v>24</v>
      </c>
      <c r="C30" s="120"/>
      <c r="D30" s="121"/>
      <c r="E30" s="9">
        <f>-E28*'Fane 15. Nøgletal'!C31</f>
        <v>-202.44</v>
      </c>
      <c r="F30" s="14" t="s">
        <v>3</v>
      </c>
      <c r="G30" s="1"/>
    </row>
    <row r="31" spans="1:7" x14ac:dyDescent="0.25">
      <c r="A31" s="1"/>
      <c r="B31" s="125" t="s">
        <v>216</v>
      </c>
      <c r="C31" s="126"/>
      <c r="D31" s="127"/>
      <c r="E31" s="12">
        <f>SUM(E28:E30)*(1+'Fane 15. Nøgletal'!C15)^5</f>
        <v>11815.513955546287</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x7/326zdXu2ohC/vjNPmkGL1WxC14CcF8Rv6zSzq9PdtPw8W8OA6vrrIL0N4dFP+uacXGBfeU8UjZD0rAYBYA==" saltValue="85vvJdBCezk27sk8UAOm2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261</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132</v>
      </c>
      <c r="C8" s="126"/>
      <c r="D8" s="126"/>
      <c r="E8" s="126"/>
      <c r="F8" s="127"/>
      <c r="G8" s="1"/>
    </row>
    <row r="9" spans="1:7" ht="15" customHeight="1" x14ac:dyDescent="0.25">
      <c r="A9" s="1"/>
      <c r="B9" s="31" t="s">
        <v>133</v>
      </c>
      <c r="C9" s="31" t="s">
        <v>11</v>
      </c>
      <c r="D9" s="32"/>
      <c r="E9" s="31" t="s">
        <v>31</v>
      </c>
      <c r="F9" s="32"/>
      <c r="G9" s="1"/>
    </row>
    <row r="10" spans="1:7" x14ac:dyDescent="0.25">
      <c r="A10" s="1"/>
      <c r="B10" s="24"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4HRxfrVcCTA4Sg/5L/x8Vej6qHuZoFuH0da4B8YsYHFaoAGhdJbKe8kuNRPOmA7tKf8CdtzI6GIXIk69eE+gg==" saltValue="NZ2+Rbg17oNa7s7vAtheu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262</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93</v>
      </c>
      <c r="C9" s="126"/>
      <c r="D9" s="126"/>
      <c r="E9" s="126"/>
      <c r="F9" s="127"/>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3"/>
      <c r="C16" s="63"/>
      <c r="D16" s="63"/>
      <c r="E16" s="63"/>
      <c r="F16" s="63"/>
      <c r="G16" s="1"/>
    </row>
    <row r="17" spans="1:7" x14ac:dyDescent="0.25">
      <c r="A17" s="1"/>
      <c r="B17" s="64"/>
      <c r="C17" s="67"/>
      <c r="D17" s="66"/>
      <c r="E17" s="67"/>
      <c r="F17" s="66"/>
      <c r="G17" s="1"/>
    </row>
    <row r="18" spans="1:7" x14ac:dyDescent="0.25">
      <c r="A18" s="1"/>
      <c r="B18" s="68"/>
      <c r="C18" s="69"/>
      <c r="D18" s="70"/>
      <c r="E18" s="69"/>
      <c r="F18" s="70"/>
      <c r="G18" s="1"/>
    </row>
    <row r="19" spans="1:7" x14ac:dyDescent="0.25">
      <c r="A19" s="1"/>
      <c r="B19" s="68"/>
      <c r="C19" s="69"/>
      <c r="D19" s="70"/>
      <c r="E19" s="69"/>
      <c r="F19" s="70"/>
      <c r="G19" s="1"/>
    </row>
    <row r="20" spans="1:7" x14ac:dyDescent="0.25">
      <c r="A20" s="1"/>
      <c r="B20" s="61"/>
      <c r="C20" s="61"/>
      <c r="D20" s="61"/>
      <c r="E20" s="61"/>
      <c r="F20" s="61"/>
      <c r="G20" s="1"/>
    </row>
    <row r="21" spans="1:7" x14ac:dyDescent="0.25">
      <c r="A21" s="1"/>
      <c r="B21" s="160"/>
      <c r="C21" s="160"/>
      <c r="D21" s="160"/>
      <c r="E21" s="160"/>
      <c r="F21" s="160"/>
      <c r="G21" s="1"/>
    </row>
    <row r="22" spans="1:7" x14ac:dyDescent="0.25">
      <c r="A22" s="1"/>
      <c r="B22" s="63"/>
      <c r="C22" s="63"/>
      <c r="D22" s="63"/>
      <c r="E22" s="63"/>
      <c r="F22" s="63"/>
      <c r="G22" s="1"/>
    </row>
    <row r="23" spans="1:7" x14ac:dyDescent="0.25">
      <c r="A23" s="1"/>
      <c r="B23" s="64"/>
      <c r="C23" s="67"/>
      <c r="D23" s="66"/>
      <c r="E23" s="67"/>
      <c r="F23" s="66"/>
      <c r="G23" s="1"/>
    </row>
    <row r="24" spans="1:7" x14ac:dyDescent="0.25">
      <c r="A24" s="1"/>
      <c r="B24" s="68"/>
      <c r="C24" s="69"/>
      <c r="D24" s="70"/>
      <c r="E24" s="69"/>
      <c r="F24" s="70"/>
      <c r="G24" s="1"/>
    </row>
    <row r="25" spans="1:7" x14ac:dyDescent="0.25">
      <c r="A25" s="1"/>
      <c r="B25" s="68"/>
      <c r="C25" s="69"/>
      <c r="D25" s="70"/>
      <c r="E25" s="69"/>
      <c r="F25" s="70"/>
      <c r="G25" s="1"/>
    </row>
    <row r="26" spans="1:7" x14ac:dyDescent="0.25">
      <c r="A26" s="1"/>
      <c r="B26" s="61"/>
      <c r="C26" s="61"/>
      <c r="D26" s="61"/>
      <c r="E26" s="61"/>
      <c r="F26" s="61"/>
      <c r="G26" s="1"/>
    </row>
    <row r="27" spans="1:7" x14ac:dyDescent="0.25">
      <c r="A27" s="1"/>
      <c r="B27" s="160"/>
      <c r="C27" s="160"/>
      <c r="D27" s="160"/>
      <c r="E27" s="160"/>
      <c r="F27" s="160"/>
      <c r="G27" s="1"/>
    </row>
    <row r="28" spans="1:7" x14ac:dyDescent="0.25">
      <c r="A28" s="1"/>
      <c r="B28" s="63"/>
      <c r="C28" s="63"/>
      <c r="D28" s="63"/>
      <c r="E28" s="63"/>
      <c r="F28" s="63"/>
      <c r="G28" s="1"/>
    </row>
    <row r="29" spans="1:7" x14ac:dyDescent="0.25">
      <c r="A29" s="1"/>
      <c r="B29" s="64"/>
      <c r="C29" s="67"/>
      <c r="D29" s="66"/>
      <c r="E29" s="67"/>
      <c r="F29" s="66"/>
      <c r="G29" s="1"/>
    </row>
    <row r="30" spans="1:7" x14ac:dyDescent="0.25">
      <c r="A30" s="1"/>
      <c r="B30" s="68"/>
      <c r="C30" s="69"/>
      <c r="D30" s="70"/>
      <c r="E30" s="69"/>
      <c r="F30" s="70"/>
      <c r="G30" s="1"/>
    </row>
    <row r="31" spans="1:7" x14ac:dyDescent="0.25">
      <c r="A31" s="1"/>
      <c r="B31" s="68"/>
      <c r="C31" s="69"/>
      <c r="D31" s="70"/>
      <c r="E31" s="69"/>
      <c r="F31" s="7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u/oWPzGTOtvUvenOv3wPr0Z8HueWaedJUmjVLf4r/8EfHYtggFPYQtBdlyDwjRvFA3rM+aSjIY5CZW9d8McDA==" saltValue="XOGwjTnX8MZss2moo+7QD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156887842.94796661</v>
      </c>
      <c r="D9" s="8" t="s">
        <v>3</v>
      </c>
      <c r="E9" s="1"/>
    </row>
    <row r="10" spans="1:5" ht="17.25" customHeight="1" x14ac:dyDescent="0.25">
      <c r="A10" s="1"/>
      <c r="B10" s="81" t="s">
        <v>39</v>
      </c>
      <c r="C10" s="7">
        <f>'Fane 11.1. Varige tillæg'!C20</f>
        <v>3107451.3924000002</v>
      </c>
      <c r="D10" s="8" t="s">
        <v>3</v>
      </c>
      <c r="E10" s="1"/>
    </row>
    <row r="11" spans="1:5" ht="17.25" customHeight="1" x14ac:dyDescent="0.25">
      <c r="A11" s="1"/>
      <c r="B11" s="81" t="s">
        <v>40</v>
      </c>
      <c r="C11" s="9">
        <f>'Fane 11.1. Varige tillæg'!E20</f>
        <v>10431913.750124</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4">
        <f>SUM(C9)*'Fane 15. Nøgletal'!C14+SUM(C10:C15)*'Fane 15. Nøgletal'!C15</f>
        <v>999731.2808021442</v>
      </c>
      <c r="D16" s="8" t="s">
        <v>3</v>
      </c>
      <c r="E16" s="1"/>
    </row>
    <row r="17" spans="1:5" ht="17.25" customHeight="1" x14ac:dyDescent="0.25">
      <c r="A17" s="1"/>
      <c r="B17" s="81" t="s">
        <v>10</v>
      </c>
      <c r="C17" s="44">
        <f>-SUM(C9,C10:C16)*'Fane 5. Individuelt eff. krav'!G9</f>
        <v>0</v>
      </c>
      <c r="D17" s="8" t="s">
        <v>3</v>
      </c>
      <c r="E17" s="1"/>
    </row>
    <row r="18" spans="1:5" ht="17.25" customHeight="1" x14ac:dyDescent="0.25">
      <c r="A18" s="1"/>
      <c r="B18" s="81" t="s">
        <v>24</v>
      </c>
      <c r="C18" s="44">
        <f>-'Fane 4.1. Gen. krav - drift'!G45</f>
        <v>-1076798.5026666604</v>
      </c>
      <c r="D18" s="8" t="s">
        <v>3</v>
      </c>
      <c r="E18" s="1"/>
    </row>
    <row r="19" spans="1:5" ht="17.25" customHeight="1" x14ac:dyDescent="0.25">
      <c r="A19" s="1"/>
      <c r="B19" s="81" t="s">
        <v>25</v>
      </c>
      <c r="C19" s="44">
        <f>-'Fane 4.2. Gen. krav - anlæg'!G43</f>
        <v>-1657234.5559394434</v>
      </c>
      <c r="D19" s="8" t="s">
        <v>3</v>
      </c>
      <c r="E19" s="50"/>
    </row>
    <row r="20" spans="1:5" ht="17.25" customHeight="1" x14ac:dyDescent="0.25">
      <c r="A20" s="1"/>
      <c r="B20" s="87" t="s">
        <v>21</v>
      </c>
      <c r="C20" s="10">
        <f>SUM(C9:C19)</f>
        <v>168692906.31268665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omk.'!C16+'Fane 6. Ikke-påvirkelige omk.'!C20+'Fane 6. Ikke-påvirkelige omk.'!C28</f>
        <v>8414494.1393047459</v>
      </c>
      <c r="D22" s="11" t="s">
        <v>3</v>
      </c>
      <c r="E22" s="1"/>
    </row>
    <row r="23" spans="1:5" ht="15" customHeight="1" x14ac:dyDescent="0.25">
      <c r="A23" s="1"/>
      <c r="B23" s="33" t="s">
        <v>86</v>
      </c>
      <c r="C23" s="28"/>
      <c r="D23" s="19"/>
      <c r="E23" s="1"/>
    </row>
    <row r="24" spans="1:5" ht="15" customHeight="1" x14ac:dyDescent="0.25">
      <c r="A24" s="1"/>
      <c r="B24" s="87" t="s">
        <v>86</v>
      </c>
      <c r="C24" s="10">
        <f>'Fane 12. Periodevise driftsomk.'!E13</f>
        <v>10638.4043255616</v>
      </c>
      <c r="D24" s="11" t="s">
        <v>3</v>
      </c>
      <c r="E24" s="1"/>
    </row>
    <row r="25" spans="1:5" ht="15" customHeight="1" x14ac:dyDescent="0.25">
      <c r="A25" s="1"/>
      <c r="B25" s="47" t="s">
        <v>85</v>
      </c>
      <c r="C25" s="45"/>
      <c r="D25" s="46"/>
      <c r="E25" s="1"/>
    </row>
    <row r="26" spans="1:5" ht="15" customHeight="1" x14ac:dyDescent="0.25">
      <c r="A26" s="1"/>
      <c r="B26" s="81" t="s">
        <v>233</v>
      </c>
      <c r="C26" s="9">
        <f>'Fane 11.2. Engangstillæg'!C14</f>
        <v>0</v>
      </c>
      <c r="D26" s="8" t="s">
        <v>3</v>
      </c>
      <c r="E26" s="1"/>
    </row>
    <row r="27" spans="1:5" ht="15" customHeight="1" x14ac:dyDescent="0.25">
      <c r="A27" s="1"/>
      <c r="B27" s="81" t="s">
        <v>82</v>
      </c>
      <c r="C27" s="9">
        <f>'Fane 11.2. Engangstillæg'!E14</f>
        <v>0</v>
      </c>
      <c r="D27" s="8" t="s">
        <v>3</v>
      </c>
      <c r="E27" s="1"/>
    </row>
    <row r="28" spans="1:5" ht="15" customHeight="1" x14ac:dyDescent="0.25">
      <c r="A28" s="1"/>
      <c r="B28" s="81" t="s">
        <v>240</v>
      </c>
      <c r="C28" s="9">
        <f>-C26*('Fane 15. Nøgletal'!C31+'Fane 5. Individuelt eff. krav'!G9)</f>
        <v>0</v>
      </c>
      <c r="D28" s="8" t="s">
        <v>3</v>
      </c>
      <c r="E28" s="1"/>
    </row>
    <row r="29" spans="1:5" ht="15" customHeight="1" x14ac:dyDescent="0.25">
      <c r="A29" s="1"/>
      <c r="B29" s="81" t="s">
        <v>241</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-16458832.565264106</v>
      </c>
      <c r="D32" s="11" t="s">
        <v>3</v>
      </c>
      <c r="E32" s="1"/>
    </row>
    <row r="33" spans="1:5" ht="15" customHeight="1" x14ac:dyDescent="0.25">
      <c r="A33" s="1"/>
      <c r="B33" s="33" t="s">
        <v>186</v>
      </c>
      <c r="C33" s="28"/>
      <c r="D33" s="19"/>
      <c r="E33" s="1"/>
    </row>
    <row r="34" spans="1:5" x14ac:dyDescent="0.25">
      <c r="A34" s="1"/>
      <c r="B34" s="31" t="s">
        <v>186</v>
      </c>
      <c r="C34" s="10">
        <f>'Fane 9. Korrektion af ØR2021'!E17</f>
        <v>-1508424.58</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59">
        <f>SUM(C34,C32,C24,C30,C22,C20,C36)</f>
        <v>159150781.71105286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ukcQxpfnPniY3RAr8dYwGMTqbDrAExQ4gpIvOC25EovpsHSzzKIpbjHWSG5uR6fyOespvKXOTB1roq3rN4QXg==" saltValue="O2sLhufWQ9BdXLSaz/YLX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263</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2">
        <v>3.3E-3</v>
      </c>
      <c r="D14" s="1"/>
    </row>
    <row r="15" spans="1:4" x14ac:dyDescent="0.25">
      <c r="A15" s="1"/>
      <c r="B15" s="34" t="s">
        <v>225</v>
      </c>
      <c r="C15" s="73">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4">
        <v>2.8E-3</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1"/>
      <c r="B50" s="51"/>
      <c r="C50" s="51"/>
      <c r="D50" s="51"/>
    </row>
    <row r="51" spans="1:4" x14ac:dyDescent="0.25">
      <c r="A51" s="51"/>
      <c r="B51" s="51"/>
      <c r="C51" s="51"/>
      <c r="D51" s="51"/>
    </row>
    <row r="52" spans="1:4" x14ac:dyDescent="0.25">
      <c r="A52" s="51"/>
      <c r="B52" s="51"/>
      <c r="C52" s="51"/>
      <c r="D52" s="51"/>
    </row>
    <row r="53" spans="1:4" x14ac:dyDescent="0.25">
      <c r="A53" s="51"/>
      <c r="B53" s="51"/>
      <c r="C53" s="51"/>
      <c r="D53" s="51"/>
    </row>
  </sheetData>
  <sheetProtection algorithmName="SHA-512" hashValue="jOS53fkre/d26hKqxEWL3EYc0emi3u3VYaz81aSjtfbk5VjImbC3OxSi1wd09UMmY4bqCDu/EejlJ6iXd6yNEg==" saltValue="vrMW8i1bJlShczAUXNqsc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168692906.31268665</v>
      </c>
      <c r="D9" s="8" t="s">
        <v>3</v>
      </c>
      <c r="E9" s="1"/>
    </row>
    <row r="10" spans="1:5" ht="15" customHeight="1" x14ac:dyDescent="0.25">
      <c r="A10" s="1"/>
      <c r="B10" s="26" t="s">
        <v>19</v>
      </c>
      <c r="C10" s="7">
        <f>SUM(C9:C9)*'Fane 15. Nøgletal'!C15</f>
        <v>6005467.4647316448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drift'!G53</f>
        <v>-1092829.8787743617</v>
      </c>
      <c r="D12" s="8" t="s">
        <v>3</v>
      </c>
      <c r="E12" s="1"/>
    </row>
    <row r="13" spans="1:5" ht="15" customHeight="1" x14ac:dyDescent="0.25">
      <c r="A13" s="1"/>
      <c r="B13" s="26" t="s">
        <v>25</v>
      </c>
      <c r="C13" s="9">
        <f>-'Fane 4.2. Gen. krav - anlæg'!G54</f>
        <v>-345286.63796394278</v>
      </c>
      <c r="D13" s="8" t="s">
        <v>3</v>
      </c>
      <c r="E13" s="1"/>
    </row>
    <row r="14" spans="1:5" ht="15" customHeight="1" x14ac:dyDescent="0.25">
      <c r="A14" s="1"/>
      <c r="B14" s="27" t="s">
        <v>21</v>
      </c>
      <c r="C14" s="10">
        <f>SUM(C9:C13)</f>
        <v>173260257.26067996</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Nøgletal'!C15)+'Fane 6. Ikke-påvirkelige omk.'!C21+'Fane 6. Ikke-påvirkelige omk.'!C29</f>
        <v>8646880.9406639934</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driftsomk.'!E19</f>
        <v>11017.131519551594</v>
      </c>
      <c r="D18" s="11" t="s">
        <v>3</v>
      </c>
      <c r="E18" s="1"/>
    </row>
    <row r="19" spans="1:5" x14ac:dyDescent="0.25">
      <c r="A19" s="1"/>
      <c r="B19" s="33" t="s">
        <v>143</v>
      </c>
      <c r="C19" s="28"/>
      <c r="D19" s="19"/>
      <c r="E19" s="1"/>
    </row>
    <row r="20" spans="1:5" ht="15" customHeight="1" x14ac:dyDescent="0.25">
      <c r="A20" s="1"/>
      <c r="B20" s="31" t="s">
        <v>181</v>
      </c>
      <c r="C20" s="10">
        <f>'Fane 7. Kontrol af ØR2021'!E34</f>
        <v>-2808423.3188972399</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179109732.01396626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22piihixrQKTreCVBorBL9CxKhpEj0HDaUStTLLN8J6WXBypKXjQk7jAmnZfhY8Wi9WRpgfz02MIodWaXEp2A==" saltValue="fKERcgo7nyV6KunOiclPe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173260257.26067996</v>
      </c>
      <c r="D9" s="8" t="s">
        <v>3</v>
      </c>
      <c r="E9" s="1"/>
    </row>
    <row r="10" spans="1:5" ht="15" customHeight="1" x14ac:dyDescent="0.25">
      <c r="A10" s="1"/>
      <c r="B10" s="26" t="s">
        <v>19</v>
      </c>
      <c r="C10" s="7">
        <f>SUM(C9:C9)*'Fane 15. Nøgletal'!C15</f>
        <v>6168065.1584802065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drift'!G58</f>
        <v>-1109099.9300095546</v>
      </c>
      <c r="D12" s="8" t="s">
        <v>3</v>
      </c>
      <c r="E12" s="1"/>
    </row>
    <row r="13" spans="1:5" ht="15" customHeight="1" x14ac:dyDescent="0.25">
      <c r="A13" s="1"/>
      <c r="B13" s="26" t="s">
        <v>25</v>
      </c>
      <c r="C13" s="9">
        <f>-'Fane 4.2. Gen. krav - anlæg'!G59</f>
        <v>-356577.62151708791</v>
      </c>
      <c r="D13" s="8" t="s">
        <v>3</v>
      </c>
      <c r="E13" s="1"/>
    </row>
    <row r="14" spans="1:5" x14ac:dyDescent="0.25">
      <c r="A14" s="1"/>
      <c r="B14" s="27" t="s">
        <v>21</v>
      </c>
      <c r="C14" s="10">
        <f>SUM(C9:C13)</f>
        <v>177962644.86763352</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Nøgletal'!C15)^2+'Fane 6. Ikke-påvirkelige omk.'!C22+'Fane 6. Ikke-påvirkelige omk.'!C30</f>
        <v>8887540.7121516317</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driftsomk.'!E25</f>
        <v>11409.341401647631</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-2808423.3188972399</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184053171.60228956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C2Z8j7VIr3YXLfGVhaehh8weS8JybVPnx1+7uyVZ8ZLZdW8Kvpc/WysLmV8CmVHiwEf3d2MSOJaldjw0dNCow==" saltValue="R4FD8FGNJHMT8yllmHO+6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177962644.86763352</v>
      </c>
      <c r="D9" s="8" t="s">
        <v>3</v>
      </c>
      <c r="E9" s="1"/>
    </row>
    <row r="10" spans="1:5" ht="15" customHeight="1" x14ac:dyDescent="0.25">
      <c r="A10" s="1"/>
      <c r="B10" s="26" t="s">
        <v>19</v>
      </c>
      <c r="C10" s="7">
        <f>SUM(C9:C9)*'Fane 15. Nøgletal'!C15</f>
        <v>6335470.1572877532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drift'!G63</f>
        <v>-1125612.209767537</v>
      </c>
      <c r="D12" s="8" t="s">
        <v>3</v>
      </c>
      <c r="E12" s="1"/>
    </row>
    <row r="13" spans="1:5" ht="15" customHeight="1" x14ac:dyDescent="0.25">
      <c r="A13" s="1"/>
      <c r="B13" s="26" t="s">
        <v>25</v>
      </c>
      <c r="C13" s="9">
        <f>-'Fane 4.2. Gen. krav - anlæg'!G64</f>
        <v>-368237.82384553557</v>
      </c>
      <c r="D13" s="8" t="s">
        <v>3</v>
      </c>
      <c r="E13" s="1"/>
    </row>
    <row r="14" spans="1:5" ht="14.25" customHeight="1" x14ac:dyDescent="0.25">
      <c r="A14" s="1"/>
      <c r="B14" s="27" t="s">
        <v>21</v>
      </c>
      <c r="C14" s="10">
        <f>SUM(C9:C13)</f>
        <v>182804264.99130818</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Nøgletal'!C15)^3+'Fane 6. Ikke-påvirkelige omk.'!C23+'Fane 6. Ikke-påvirkelige omk.'!C31</f>
        <v>9136767.9715042319</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driftsomk.'!E31</f>
        <v>11815.513955546287</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-2808423.3188972399</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189144425.15787071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TsF5+yq0Ln7WW0BO/g+lIhNCO2h5+D2AQINAQsWkaaCI8U286xuDM/cJdubxMymAiwi165Ssovo5FpBDDm2Pzw==" saltValue="UGM1Wj1dk0V6l9GoGguMh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192</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28" t="s">
        <v>193</v>
      </c>
      <c r="C9" s="129"/>
      <c r="D9" s="130"/>
      <c r="E9" s="7">
        <v>159038710.81099939</v>
      </c>
      <c r="F9" s="8" t="s">
        <v>3</v>
      </c>
      <c r="G9" s="1"/>
    </row>
    <row r="10" spans="1:7" ht="15" customHeight="1" x14ac:dyDescent="0.25">
      <c r="A10" s="1"/>
      <c r="B10" s="119" t="s">
        <v>39</v>
      </c>
      <c r="C10" s="120"/>
      <c r="D10" s="121"/>
      <c r="E10" s="7">
        <v>0</v>
      </c>
      <c r="F10" s="8" t="s">
        <v>3</v>
      </c>
      <c r="G10" s="1"/>
    </row>
    <row r="11" spans="1:7" ht="15" customHeight="1" x14ac:dyDescent="0.25">
      <c r="A11" s="1"/>
      <c r="B11" s="119" t="s">
        <v>40</v>
      </c>
      <c r="C11" s="120"/>
      <c r="D11" s="121"/>
      <c r="E11" s="9">
        <v>0</v>
      </c>
      <c r="F11" s="8" t="s">
        <v>3</v>
      </c>
      <c r="G11" s="1"/>
    </row>
    <row r="12" spans="1:7" ht="15" customHeight="1" x14ac:dyDescent="0.25">
      <c r="A12" s="1"/>
      <c r="B12" s="119" t="s">
        <v>27</v>
      </c>
      <c r="C12" s="120"/>
      <c r="D12" s="121"/>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524827.74567629804</v>
      </c>
      <c r="F16" s="8" t="s">
        <v>3</v>
      </c>
      <c r="G16" s="1"/>
    </row>
    <row r="17" spans="1:7" ht="15" customHeight="1" x14ac:dyDescent="0.25">
      <c r="A17" s="1"/>
      <c r="B17" s="128" t="s">
        <v>10</v>
      </c>
      <c r="C17" s="129"/>
      <c r="D17" s="130"/>
      <c r="E17" s="9">
        <v>0</v>
      </c>
      <c r="F17" s="8" t="s">
        <v>3</v>
      </c>
      <c r="G17" s="1"/>
    </row>
    <row r="18" spans="1:7" ht="15" customHeight="1" x14ac:dyDescent="0.25">
      <c r="A18" s="1"/>
      <c r="B18" s="128" t="s">
        <v>24</v>
      </c>
      <c r="C18" s="129"/>
      <c r="D18" s="130"/>
      <c r="E18" s="9">
        <f>-'Fane 4.1. Gen. krav - drift'!G39</f>
        <v>-1029700.9353086565</v>
      </c>
      <c r="F18" s="8" t="s">
        <v>3</v>
      </c>
      <c r="G18" s="1"/>
    </row>
    <row r="19" spans="1:7" ht="15" customHeight="1" x14ac:dyDescent="0.25">
      <c r="A19" s="1"/>
      <c r="B19" s="128" t="s">
        <v>25</v>
      </c>
      <c r="C19" s="129"/>
      <c r="D19" s="130"/>
      <c r="E19" s="9">
        <f>-'Fane 4.2. Gen. krav - anlæg'!G37</f>
        <v>-1645994.6734004375</v>
      </c>
      <c r="F19" s="8" t="s">
        <v>3</v>
      </c>
      <c r="G19" s="1"/>
    </row>
    <row r="20" spans="1:7" ht="15" customHeight="1" x14ac:dyDescent="0.25">
      <c r="A20" s="1"/>
      <c r="B20" s="56" t="s">
        <v>21</v>
      </c>
      <c r="C20" s="88"/>
      <c r="D20" s="94"/>
      <c r="E20" s="53">
        <f>SUM(E9:E19)</f>
        <v>156887842.94796661</v>
      </c>
      <c r="F20" s="55" t="s">
        <v>3</v>
      </c>
      <c r="G20" s="1"/>
    </row>
    <row r="21" spans="1:7" ht="15" customHeight="1" x14ac:dyDescent="0.25">
      <c r="A21" s="1"/>
      <c r="B21" s="33" t="s">
        <v>12</v>
      </c>
      <c r="C21" s="28"/>
      <c r="D21" s="28"/>
      <c r="E21" s="28"/>
      <c r="F21" s="19"/>
      <c r="G21" s="1"/>
    </row>
    <row r="22" spans="1:7" ht="15" customHeight="1" x14ac:dyDescent="0.25">
      <c r="A22" s="1"/>
      <c r="B22" s="122" t="s">
        <v>12</v>
      </c>
      <c r="C22" s="123"/>
      <c r="D22" s="124"/>
      <c r="E22" s="10">
        <v>6717426.1719041411</v>
      </c>
      <c r="F22" s="11" t="s">
        <v>3</v>
      </c>
      <c r="G22" s="1"/>
    </row>
    <row r="23" spans="1:7" ht="15" customHeight="1" x14ac:dyDescent="0.25">
      <c r="A23" s="1"/>
      <c r="B23" s="125" t="s">
        <v>86</v>
      </c>
      <c r="C23" s="126"/>
      <c r="D23" s="127"/>
      <c r="E23" s="28"/>
      <c r="F23" s="28"/>
      <c r="G23" s="1"/>
    </row>
    <row r="24" spans="1:7" ht="15" customHeight="1" x14ac:dyDescent="0.25">
      <c r="A24" s="1"/>
      <c r="B24" s="87" t="s">
        <v>86</v>
      </c>
      <c r="C24" s="38"/>
      <c r="D24" s="39"/>
      <c r="E24" s="10">
        <v>9864.7867220000007</v>
      </c>
      <c r="F24" s="11" t="s">
        <v>3</v>
      </c>
      <c r="G24" s="1"/>
    </row>
    <row r="25" spans="1:7" x14ac:dyDescent="0.25">
      <c r="A25" s="1"/>
      <c r="B25" s="33" t="s">
        <v>85</v>
      </c>
      <c r="C25" s="28"/>
      <c r="D25" s="28"/>
      <c r="E25" s="28"/>
      <c r="F25" s="19"/>
      <c r="G25" s="1"/>
    </row>
    <row r="26" spans="1:7" ht="15" customHeight="1" x14ac:dyDescent="0.25">
      <c r="A26" s="1"/>
      <c r="B26" s="119" t="s">
        <v>81</v>
      </c>
      <c r="C26" s="120"/>
      <c r="D26" s="121"/>
      <c r="E26" s="9">
        <v>0</v>
      </c>
      <c r="F26" s="8" t="s">
        <v>3</v>
      </c>
      <c r="G26" s="1"/>
    </row>
    <row r="27" spans="1:7" ht="15" customHeight="1" x14ac:dyDescent="0.25">
      <c r="A27" s="1"/>
      <c r="B27" s="119" t="s">
        <v>82</v>
      </c>
      <c r="C27" s="120"/>
      <c r="D27" s="120"/>
      <c r="E27" s="9">
        <v>0</v>
      </c>
      <c r="F27" s="8" t="s">
        <v>3</v>
      </c>
      <c r="G27" s="1"/>
    </row>
    <row r="28" spans="1:7" ht="15" customHeight="1" x14ac:dyDescent="0.25">
      <c r="A28" s="1"/>
      <c r="B28" s="131" t="s">
        <v>87</v>
      </c>
      <c r="C28" s="132"/>
      <c r="D28" s="132"/>
      <c r="E28" s="40">
        <v>0</v>
      </c>
      <c r="F28" s="11" t="s">
        <v>3</v>
      </c>
      <c r="G28" s="1"/>
    </row>
    <row r="29" spans="1:7" ht="15" customHeight="1" x14ac:dyDescent="0.25">
      <c r="A29" s="1"/>
      <c r="B29" s="33" t="s">
        <v>143</v>
      </c>
      <c r="C29" s="33"/>
      <c r="D29" s="33"/>
      <c r="E29" s="28"/>
      <c r="F29" s="28"/>
      <c r="G29" s="1"/>
    </row>
    <row r="30" spans="1:7" ht="15" customHeight="1" x14ac:dyDescent="0.25">
      <c r="A30" s="1"/>
      <c r="B30" s="122" t="s">
        <v>142</v>
      </c>
      <c r="C30" s="123"/>
      <c r="D30" s="123"/>
      <c r="E30" s="40">
        <v>-16458832.565264106</v>
      </c>
      <c r="F30" s="11" t="s">
        <v>3</v>
      </c>
      <c r="G30" s="1"/>
    </row>
    <row r="31" spans="1:7" x14ac:dyDescent="0.25">
      <c r="A31" s="1"/>
      <c r="B31" s="33" t="s">
        <v>123</v>
      </c>
      <c r="C31" s="28"/>
      <c r="D31" s="28"/>
      <c r="E31" s="28"/>
      <c r="F31" s="28"/>
      <c r="G31" s="1"/>
    </row>
    <row r="32" spans="1:7" ht="15.4" customHeight="1" x14ac:dyDescent="0.25">
      <c r="A32" s="1"/>
      <c r="B32" s="122" t="s">
        <v>123</v>
      </c>
      <c r="C32" s="123"/>
      <c r="D32" s="124"/>
      <c r="E32" s="10">
        <v>-1501635</v>
      </c>
      <c r="F32" s="11" t="s">
        <v>3</v>
      </c>
      <c r="G32" s="1"/>
    </row>
    <row r="33" spans="1:7" ht="15.4" customHeight="1" x14ac:dyDescent="0.25">
      <c r="A33" s="1"/>
      <c r="B33" s="125" t="s">
        <v>175</v>
      </c>
      <c r="C33" s="126"/>
      <c r="D33" s="126"/>
      <c r="E33" s="126"/>
      <c r="F33" s="127"/>
      <c r="G33" s="1"/>
    </row>
    <row r="34" spans="1:7" ht="15.4" customHeight="1" x14ac:dyDescent="0.25">
      <c r="A34" s="1"/>
      <c r="B34" s="93" t="s">
        <v>176</v>
      </c>
      <c r="C34" s="10"/>
      <c r="D34" s="11"/>
      <c r="E34" s="10">
        <f>'Fane 8. Skattesagen'!G11</f>
        <v>0</v>
      </c>
      <c r="F34" s="11" t="s">
        <v>3</v>
      </c>
      <c r="G34" s="1"/>
    </row>
    <row r="35" spans="1:7" x14ac:dyDescent="0.25">
      <c r="A35" s="1"/>
      <c r="B35" s="57" t="s">
        <v>220</v>
      </c>
      <c r="C35" s="58"/>
      <c r="D35" s="19"/>
      <c r="E35" s="45">
        <f>SUM(E32,E30,E28,E24,E22,E20,E34)</f>
        <v>145654666.34132865</v>
      </c>
      <c r="F35" s="54" t="s">
        <v>3</v>
      </c>
      <c r="G35" s="1"/>
    </row>
    <row r="36" spans="1:7" ht="27" customHeight="1" x14ac:dyDescent="0.25">
      <c r="A36" s="1"/>
      <c r="B36" s="128" t="s">
        <v>224</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1"/>
      <c r="B49" s="51"/>
      <c r="C49" s="51"/>
      <c r="D49" s="51"/>
      <c r="E49" s="51"/>
      <c r="F49" s="51"/>
      <c r="G49" s="51"/>
    </row>
    <row r="50" spans="1:7" x14ac:dyDescent="0.25">
      <c r="A50" s="51"/>
      <c r="B50" s="51"/>
      <c r="C50" s="51"/>
      <c r="D50" s="51"/>
      <c r="E50" s="51"/>
      <c r="F50" s="51"/>
      <c r="G50" s="51"/>
    </row>
    <row r="51" spans="1:7" x14ac:dyDescent="0.25">
      <c r="A51" s="51"/>
      <c r="B51" s="51"/>
      <c r="C51" s="51"/>
      <c r="D51" s="51"/>
      <c r="E51" s="51"/>
      <c r="F51" s="51"/>
      <c r="G51" s="51"/>
    </row>
    <row r="52" spans="1:7" x14ac:dyDescent="0.25">
      <c r="A52" s="51"/>
      <c r="B52" s="51"/>
      <c r="C52" s="51"/>
      <c r="D52" s="51"/>
      <c r="E52" s="51"/>
      <c r="F52" s="51"/>
      <c r="G52" s="51"/>
    </row>
  </sheetData>
  <sheetProtection algorithmName="SHA-512" hashValue="7daiykPyHm3wslKLPPbiYpDglIvhtFNMdblbch1JsutKiPkL6lEquqLWoTlk20t2s3eQpY4tipm9nMncJAhVSw==" saltValue="4Kg10wSIlpqHRGP9xAU5b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3" t="s">
        <v>109</v>
      </c>
      <c r="C2" s="133"/>
      <c r="D2" s="133"/>
      <c r="E2" s="133"/>
      <c r="F2" s="133"/>
      <c r="G2" s="133"/>
      <c r="H2" s="133"/>
      <c r="I2" s="1"/>
    </row>
    <row r="3" spans="1:9" ht="28.5" customHeight="1" x14ac:dyDescent="0.25">
      <c r="A3" s="1"/>
      <c r="B3" s="133"/>
      <c r="C3" s="133"/>
      <c r="D3" s="133"/>
      <c r="E3" s="133"/>
      <c r="F3" s="133"/>
      <c r="G3" s="133"/>
      <c r="H3" s="133"/>
      <c r="I3" s="1"/>
    </row>
    <row r="4" spans="1:9" x14ac:dyDescent="0.25">
      <c r="A4" s="1"/>
      <c r="B4" s="125" t="s">
        <v>52</v>
      </c>
      <c r="C4" s="126"/>
      <c r="D4" s="126"/>
      <c r="E4" s="126"/>
      <c r="F4" s="126"/>
      <c r="G4" s="126"/>
      <c r="H4" s="127"/>
      <c r="I4" s="1"/>
    </row>
    <row r="5" spans="1:9" x14ac:dyDescent="0.25">
      <c r="A5" s="1"/>
      <c r="B5" s="134" t="s">
        <v>41</v>
      </c>
      <c r="C5" s="135"/>
      <c r="D5" s="135"/>
      <c r="E5" s="135"/>
      <c r="F5" s="136"/>
      <c r="G5" s="23">
        <v>51602080.977207959</v>
      </c>
      <c r="H5" s="14" t="s">
        <v>3</v>
      </c>
      <c r="I5" s="1"/>
    </row>
    <row r="6" spans="1:9" x14ac:dyDescent="0.25">
      <c r="A6" s="1"/>
      <c r="B6" s="128" t="s">
        <v>120</v>
      </c>
      <c r="C6" s="129"/>
      <c r="D6" s="129"/>
      <c r="E6" s="129"/>
      <c r="F6" s="130"/>
      <c r="G6" s="9">
        <v>4800901</v>
      </c>
      <c r="H6" s="14" t="s">
        <v>3</v>
      </c>
      <c r="I6" s="1"/>
    </row>
    <row r="7" spans="1:9" x14ac:dyDescent="0.25">
      <c r="A7" s="1"/>
      <c r="B7" s="134" t="s">
        <v>42</v>
      </c>
      <c r="C7" s="135"/>
      <c r="D7" s="135"/>
      <c r="E7" s="135"/>
      <c r="F7" s="136"/>
      <c r="G7" s="23">
        <f>SUM(G5:G6)*'Fane 15. Nøgletal'!C31</f>
        <v>1128059.6395441592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5" t="s">
        <v>53</v>
      </c>
      <c r="C10" s="126"/>
      <c r="D10" s="126"/>
      <c r="E10" s="126"/>
      <c r="F10" s="126"/>
      <c r="G10" s="126"/>
      <c r="H10" s="127"/>
      <c r="I10" s="1"/>
    </row>
    <row r="11" spans="1:9" x14ac:dyDescent="0.25">
      <c r="A11" s="1"/>
      <c r="B11" s="134" t="s">
        <v>43</v>
      </c>
      <c r="C11" s="135"/>
      <c r="D11" s="135"/>
      <c r="E11" s="135"/>
      <c r="F11" s="136"/>
      <c r="G11" s="23">
        <f>(G5-G7)*(1+'Fane 15. Nøgletal'!C10)</f>
        <v>51357316.711072922</v>
      </c>
      <c r="H11" s="14" t="s">
        <v>3</v>
      </c>
      <c r="I11" s="1"/>
    </row>
    <row r="12" spans="1:9" ht="15" customHeight="1" x14ac:dyDescent="0.25">
      <c r="A12" s="1"/>
      <c r="B12" s="134" t="s">
        <v>121</v>
      </c>
      <c r="C12" s="135"/>
      <c r="D12" s="135"/>
      <c r="E12" s="135"/>
      <c r="F12" s="136"/>
      <c r="G12" s="9">
        <v>-513253.43180909799</v>
      </c>
      <c r="H12" s="14" t="s">
        <v>3</v>
      </c>
      <c r="I12" s="1"/>
    </row>
    <row r="13" spans="1:9" x14ac:dyDescent="0.25">
      <c r="A13" s="1"/>
      <c r="B13" s="128" t="s">
        <v>118</v>
      </c>
      <c r="C13" s="129"/>
      <c r="D13" s="129"/>
      <c r="E13" s="129"/>
      <c r="F13" s="130"/>
      <c r="G13" s="9">
        <v>3949255.5064120484</v>
      </c>
      <c r="H13" s="14" t="s">
        <v>3</v>
      </c>
      <c r="I13" s="1"/>
    </row>
    <row r="14" spans="1:9" x14ac:dyDescent="0.25">
      <c r="A14" s="1"/>
      <c r="B14" s="137" t="s">
        <v>44</v>
      </c>
      <c r="C14" s="138"/>
      <c r="D14" s="138"/>
      <c r="E14" s="138"/>
      <c r="F14" s="139"/>
      <c r="G14" s="9">
        <v>0</v>
      </c>
      <c r="H14" s="14" t="s">
        <v>3</v>
      </c>
      <c r="I14" s="1"/>
    </row>
    <row r="15" spans="1:9" x14ac:dyDescent="0.25">
      <c r="A15" s="1"/>
      <c r="B15" s="134" t="s">
        <v>45</v>
      </c>
      <c r="C15" s="135"/>
      <c r="D15" s="135"/>
      <c r="E15" s="135"/>
      <c r="F15" s="136"/>
      <c r="G15" s="23">
        <f>SUM(G11:G14)*'Fane 15. Nøgletal'!C31</f>
        <v>1095866.3757135174</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5" t="s">
        <v>54</v>
      </c>
      <c r="C18" s="126"/>
      <c r="D18" s="126"/>
      <c r="E18" s="126"/>
      <c r="F18" s="126"/>
      <c r="G18" s="126"/>
      <c r="H18" s="127"/>
      <c r="I18" s="1"/>
    </row>
    <row r="19" spans="1:9" x14ac:dyDescent="0.25">
      <c r="A19" s="1"/>
      <c r="B19" s="134" t="s">
        <v>46</v>
      </c>
      <c r="C19" s="135"/>
      <c r="D19" s="135"/>
      <c r="E19" s="135"/>
      <c r="F19" s="136"/>
      <c r="G19" s="23">
        <f>(SUM(G11:G12,G14)-(G15))*(1+'Fane 15. Nøgletal'!C10)</f>
        <v>50618790.34936244</v>
      </c>
      <c r="H19" s="14" t="s">
        <v>3</v>
      </c>
      <c r="I19" s="1"/>
    </row>
    <row r="20" spans="1:9" x14ac:dyDescent="0.25">
      <c r="A20" s="1"/>
      <c r="B20" s="137" t="s">
        <v>47</v>
      </c>
      <c r="C20" s="138"/>
      <c r="D20" s="138"/>
      <c r="E20" s="138"/>
      <c r="F20" s="139"/>
      <c r="G20" s="9">
        <v>0</v>
      </c>
      <c r="H20" s="14" t="s">
        <v>3</v>
      </c>
      <c r="I20" s="1"/>
    </row>
    <row r="21" spans="1:9" x14ac:dyDescent="0.25">
      <c r="A21" s="1"/>
      <c r="B21" s="134" t="s">
        <v>48</v>
      </c>
      <c r="C21" s="135"/>
      <c r="D21" s="135"/>
      <c r="E21" s="135"/>
      <c r="F21" s="136"/>
      <c r="G21" s="23">
        <f>SUM(G19:G20)*'Fane 15. Nøgletal'!C31</f>
        <v>1012375.8069872488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5" t="s">
        <v>55</v>
      </c>
      <c r="C24" s="126"/>
      <c r="D24" s="126"/>
      <c r="E24" s="126"/>
      <c r="F24" s="126"/>
      <c r="G24" s="126"/>
      <c r="H24" s="127"/>
      <c r="I24" s="1"/>
    </row>
    <row r="25" spans="1:9" x14ac:dyDescent="0.25">
      <c r="A25" s="1"/>
      <c r="B25" s="134" t="s">
        <v>49</v>
      </c>
      <c r="C25" s="135"/>
      <c r="D25" s="135"/>
      <c r="E25" s="135"/>
      <c r="F25" s="136"/>
      <c r="G25" s="23">
        <f>(G19+G20-G21)*(1+'Fane 15. Nøgletal'!C12)</f>
        <v>50583660.908859983</v>
      </c>
      <c r="H25" s="14" t="s">
        <v>3</v>
      </c>
      <c r="I25" s="1"/>
    </row>
    <row r="26" spans="1:9" x14ac:dyDescent="0.25">
      <c r="A26" s="1"/>
      <c r="B26" s="137" t="s">
        <v>50</v>
      </c>
      <c r="C26" s="138"/>
      <c r="D26" s="138"/>
      <c r="E26" s="138"/>
      <c r="F26" s="139"/>
      <c r="G26" s="9">
        <v>0</v>
      </c>
      <c r="H26" s="14" t="s">
        <v>3</v>
      </c>
      <c r="I26" s="1"/>
    </row>
    <row r="27" spans="1:9" x14ac:dyDescent="0.25">
      <c r="A27" s="1"/>
      <c r="B27" s="134" t="s">
        <v>51</v>
      </c>
      <c r="C27" s="135"/>
      <c r="D27" s="135"/>
      <c r="E27" s="135"/>
      <c r="F27" s="136"/>
      <c r="G27" s="23">
        <f>(G25+G26)*'Fane 15. Nøgletal'!C31</f>
        <v>1011673.2181771997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5" t="s">
        <v>58</v>
      </c>
      <c r="C30" s="126"/>
      <c r="D30" s="126"/>
      <c r="E30" s="126"/>
      <c r="F30" s="126"/>
      <c r="G30" s="126"/>
      <c r="H30" s="127"/>
      <c r="I30" s="1"/>
    </row>
    <row r="31" spans="1:9" x14ac:dyDescent="0.25">
      <c r="A31" s="1"/>
      <c r="B31" s="134" t="s">
        <v>59</v>
      </c>
      <c r="C31" s="135"/>
      <c r="D31" s="135"/>
      <c r="E31" s="135"/>
      <c r="F31" s="136"/>
      <c r="G31" s="23">
        <f>(G25+G26-G27)*(1+'Fane 15. Nøgletal'!C12)</f>
        <v>50548555.848189235</v>
      </c>
      <c r="H31" s="14" t="s">
        <v>3</v>
      </c>
      <c r="I31" s="1"/>
    </row>
    <row r="32" spans="1:9" x14ac:dyDescent="0.25">
      <c r="A32" s="1"/>
      <c r="B32" s="134" t="s">
        <v>137</v>
      </c>
      <c r="C32" s="135"/>
      <c r="D32" s="135"/>
      <c r="E32" s="135"/>
      <c r="F32" s="136"/>
      <c r="G32" s="23">
        <v>1814408.3754165599</v>
      </c>
      <c r="H32" s="14" t="s">
        <v>3</v>
      </c>
      <c r="I32" s="1"/>
    </row>
    <row r="33" spans="1:9" x14ac:dyDescent="0.25">
      <c r="A33" s="1"/>
      <c r="B33" s="134" t="s">
        <v>60</v>
      </c>
      <c r="C33" s="135"/>
      <c r="D33" s="135"/>
      <c r="E33" s="135"/>
      <c r="F33" s="136"/>
      <c r="G33" s="23">
        <f>(G31+G32)*'Fane 15. Nøgletal'!C31</f>
        <v>1047259.2844721159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5" t="s">
        <v>160</v>
      </c>
      <c r="C36" s="126"/>
      <c r="D36" s="126"/>
      <c r="E36" s="126"/>
      <c r="F36" s="126"/>
      <c r="G36" s="126"/>
      <c r="H36" s="127"/>
      <c r="I36" s="1"/>
    </row>
    <row r="37" spans="1:9" x14ac:dyDescent="0.25">
      <c r="A37" s="1"/>
      <c r="B37" s="134" t="s">
        <v>79</v>
      </c>
      <c r="C37" s="135"/>
      <c r="D37" s="135"/>
      <c r="E37" s="135"/>
      <c r="F37" s="136"/>
      <c r="G37" s="23">
        <f>(G31+G32-G33)*(1+'Fane 15. Nøgletal'!C14)</f>
        <v>51485046.765432827</v>
      </c>
      <c r="H37" s="14" t="s">
        <v>3</v>
      </c>
      <c r="I37" s="1"/>
    </row>
    <row r="38" spans="1:9" x14ac:dyDescent="0.25">
      <c r="A38" s="1"/>
      <c r="B38" s="134" t="s">
        <v>164</v>
      </c>
      <c r="C38" s="135"/>
      <c r="D38" s="135"/>
      <c r="E38" s="135"/>
      <c r="F38" s="136"/>
      <c r="G38" s="23">
        <v>0</v>
      </c>
      <c r="H38" s="14" t="s">
        <v>3</v>
      </c>
      <c r="I38" s="1"/>
    </row>
    <row r="39" spans="1:9" x14ac:dyDescent="0.25">
      <c r="A39" s="1"/>
      <c r="B39" s="134" t="s">
        <v>162</v>
      </c>
      <c r="C39" s="135"/>
      <c r="D39" s="135"/>
      <c r="E39" s="135"/>
      <c r="F39" s="136"/>
      <c r="G39" s="23">
        <f>(G37+G38)*'Fane 15. Nøgletal'!C31</f>
        <v>1029700.9353086565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5" t="s">
        <v>161</v>
      </c>
      <c r="C42" s="126"/>
      <c r="D42" s="126"/>
      <c r="E42" s="126"/>
      <c r="F42" s="126"/>
      <c r="G42" s="126"/>
      <c r="H42" s="127"/>
      <c r="I42" s="1"/>
    </row>
    <row r="43" spans="1:9" x14ac:dyDescent="0.25">
      <c r="A43" s="1"/>
      <c r="B43" s="134" t="s">
        <v>230</v>
      </c>
      <c r="C43" s="135"/>
      <c r="D43" s="135"/>
      <c r="E43" s="135"/>
      <c r="F43" s="136"/>
      <c r="G43" s="23">
        <f>(G37+G38-G39)*(1+'Fane 15. Nøgletal'!C14)</f>
        <v>50621848.471363582</v>
      </c>
      <c r="H43" s="14" t="s">
        <v>3</v>
      </c>
      <c r="I43" s="1"/>
    </row>
    <row r="44" spans="1:9" x14ac:dyDescent="0.25">
      <c r="A44" s="1"/>
      <c r="B44" s="140" t="s">
        <v>232</v>
      </c>
      <c r="C44" s="141"/>
      <c r="D44" s="141"/>
      <c r="E44" s="141"/>
      <c r="F44" s="142"/>
      <c r="G44" s="48">
        <f>('Fane 2.1. Økonomisk ramme 2023'!C10+'Fane 2.1. Økonomisk ramme 2023'!C12+'Fane 2.1. Økonomisk ramme 2023'!C14)*(1+'Fane 15. Nøgletal'!C15)</f>
        <v>3218076.6619694405</v>
      </c>
      <c r="H44" s="14" t="s">
        <v>3</v>
      </c>
      <c r="I44" s="1"/>
    </row>
    <row r="45" spans="1:9" x14ac:dyDescent="0.25">
      <c r="A45" s="1"/>
      <c r="B45" s="134" t="s">
        <v>163</v>
      </c>
      <c r="C45" s="135"/>
      <c r="D45" s="135"/>
      <c r="E45" s="135"/>
      <c r="F45" s="136"/>
      <c r="G45" s="23">
        <f>SUM(G43:G44)*'Fane 15. Nøgletal'!C31</f>
        <v>1076798.5026666604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9"/>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5" t="s">
        <v>243</v>
      </c>
      <c r="C51" s="126"/>
      <c r="D51" s="126"/>
      <c r="E51" s="126"/>
      <c r="F51" s="126"/>
      <c r="G51" s="126"/>
      <c r="H51" s="127"/>
      <c r="I51" s="1"/>
    </row>
    <row r="52" spans="1:9" x14ac:dyDescent="0.25">
      <c r="A52" s="1"/>
      <c r="B52" s="134" t="s">
        <v>229</v>
      </c>
      <c r="C52" s="135"/>
      <c r="D52" s="135"/>
      <c r="E52" s="135"/>
      <c r="F52" s="136"/>
      <c r="G52" s="23">
        <f>(G43+G44-G45)*(1+'Fane 15. Nøgletal'!C15)</f>
        <v>54641493.938718088</v>
      </c>
      <c r="H52" s="14" t="s">
        <v>3</v>
      </c>
      <c r="I52" s="1"/>
    </row>
    <row r="53" spans="1:9" x14ac:dyDescent="0.25">
      <c r="A53" s="1"/>
      <c r="B53" s="134" t="s">
        <v>138</v>
      </c>
      <c r="C53" s="135"/>
      <c r="D53" s="135"/>
      <c r="E53" s="135"/>
      <c r="F53" s="136"/>
      <c r="G53" s="23">
        <f>(G52)*'Fane 15. Nøgletal'!C31</f>
        <v>1092829.8787743617</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5" t="s">
        <v>150</v>
      </c>
      <c r="C56" s="126"/>
      <c r="D56" s="126"/>
      <c r="E56" s="126"/>
      <c r="F56" s="126"/>
      <c r="G56" s="126"/>
      <c r="H56" s="127"/>
      <c r="I56" s="1"/>
    </row>
    <row r="57" spans="1:9" x14ac:dyDescent="0.25">
      <c r="A57" s="1"/>
      <c r="B57" s="89" t="s">
        <v>151</v>
      </c>
      <c r="C57" s="90"/>
      <c r="D57" s="90"/>
      <c r="E57" s="90"/>
      <c r="F57" s="91"/>
      <c r="G57" s="23">
        <f>(G52-G53)*(1+'Fane 15. Nøgletal'!C15)</f>
        <v>55454996.500477731</v>
      </c>
      <c r="H57" s="14" t="s">
        <v>3</v>
      </c>
      <c r="I57" s="1"/>
    </row>
    <row r="58" spans="1:9" x14ac:dyDescent="0.25">
      <c r="A58" s="1"/>
      <c r="B58" s="89" t="s">
        <v>152</v>
      </c>
      <c r="C58" s="90"/>
      <c r="D58" s="90"/>
      <c r="E58" s="90"/>
      <c r="F58" s="91"/>
      <c r="G58" s="23">
        <f>(G57)*'Fane 15. Nøgletal'!C31</f>
        <v>1109099.9300095546</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5" t="s">
        <v>194</v>
      </c>
      <c r="C61" s="126"/>
      <c r="D61" s="126"/>
      <c r="E61" s="126"/>
      <c r="F61" s="126"/>
      <c r="G61" s="126"/>
      <c r="H61" s="127"/>
      <c r="I61" s="1"/>
    </row>
    <row r="62" spans="1:9" x14ac:dyDescent="0.25">
      <c r="A62" s="1"/>
      <c r="B62" s="89" t="s">
        <v>195</v>
      </c>
      <c r="C62" s="90"/>
      <c r="D62" s="90"/>
      <c r="E62" s="90"/>
      <c r="F62" s="91"/>
      <c r="G62" s="23">
        <f>(G57-G58)*(1+'Fane 15. Nøgletal'!C15)</f>
        <v>56280610.488376848</v>
      </c>
      <c r="H62" s="14" t="s">
        <v>3</v>
      </c>
      <c r="I62" s="1"/>
    </row>
    <row r="63" spans="1:9" x14ac:dyDescent="0.25">
      <c r="A63" s="1"/>
      <c r="B63" s="89" t="s">
        <v>196</v>
      </c>
      <c r="C63" s="90"/>
      <c r="D63" s="90"/>
      <c r="E63" s="90"/>
      <c r="F63" s="91"/>
      <c r="G63" s="23">
        <f>(G62)*'Fane 15. Nøgletal'!C31</f>
        <v>1125612.209767537</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2"/>
    </row>
  </sheetData>
  <sheetProtection algorithmName="SHA-512" hashValue="FJkqyM34wGM15jBT11dUUNjLAQR9H2Lh4ZyYuKMNKPMfypws8yfV/jdpKcEYhctX+MW0UmsyQo0vYWT0qP1ijw==" saltValue="DZ1Tee78CHhqv4RRqXEiy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5" t="s">
        <v>56</v>
      </c>
      <c r="C4" s="126"/>
      <c r="D4" s="126"/>
      <c r="E4" s="126"/>
      <c r="F4" s="126"/>
      <c r="G4" s="126"/>
      <c r="H4" s="127"/>
      <c r="I4" s="1"/>
    </row>
    <row r="5" spans="1:9" x14ac:dyDescent="0.25">
      <c r="A5" s="1"/>
      <c r="B5" s="134" t="s">
        <v>61</v>
      </c>
      <c r="C5" s="135"/>
      <c r="D5" s="135"/>
      <c r="E5" s="135"/>
      <c r="F5" s="136"/>
      <c r="G5" s="23">
        <v>111781472</v>
      </c>
      <c r="H5" s="14" t="s">
        <v>3</v>
      </c>
      <c r="I5" s="1"/>
    </row>
    <row r="6" spans="1:9" x14ac:dyDescent="0.25">
      <c r="A6" s="1"/>
      <c r="B6" s="134" t="s">
        <v>57</v>
      </c>
      <c r="C6" s="135"/>
      <c r="D6" s="135"/>
      <c r="E6" s="135"/>
      <c r="F6" s="136"/>
      <c r="G6" s="23">
        <f>G5*'Fane 15. Nøgletal'!C20</f>
        <v>1017211.3952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5" t="s">
        <v>62</v>
      </c>
      <c r="C9" s="126"/>
      <c r="D9" s="126"/>
      <c r="E9" s="126"/>
      <c r="F9" s="126"/>
      <c r="G9" s="126"/>
      <c r="H9" s="127"/>
      <c r="I9" s="1"/>
    </row>
    <row r="10" spans="1:9" x14ac:dyDescent="0.25">
      <c r="A10" s="1"/>
      <c r="B10" s="134" t="s">
        <v>63</v>
      </c>
      <c r="C10" s="135"/>
      <c r="D10" s="135"/>
      <c r="E10" s="135"/>
      <c r="F10" s="136"/>
      <c r="G10" s="23">
        <f>(G5-G6)*(1+'Fane 15. Nøgletal'!C10)</f>
        <v>112702635.16538401</v>
      </c>
      <c r="H10" s="14" t="s">
        <v>3</v>
      </c>
      <c r="I10" s="1"/>
    </row>
    <row r="11" spans="1:9" x14ac:dyDescent="0.25">
      <c r="A11" s="1"/>
      <c r="B11" s="134" t="s">
        <v>122</v>
      </c>
      <c r="C11" s="135"/>
      <c r="D11" s="135"/>
      <c r="E11" s="135"/>
      <c r="F11" s="136"/>
      <c r="G11" s="72">
        <v>1196566.1885861347</v>
      </c>
      <c r="H11" s="14" t="s">
        <v>3</v>
      </c>
      <c r="I11" s="1"/>
    </row>
    <row r="12" spans="1:9" x14ac:dyDescent="0.25">
      <c r="A12" s="1"/>
      <c r="B12" s="137" t="s">
        <v>64</v>
      </c>
      <c r="C12" s="138"/>
      <c r="D12" s="138"/>
      <c r="E12" s="138"/>
      <c r="F12" s="139"/>
      <c r="G12" s="9">
        <v>0</v>
      </c>
      <c r="H12" s="14" t="s">
        <v>3</v>
      </c>
      <c r="I12" s="1"/>
    </row>
    <row r="13" spans="1:9" x14ac:dyDescent="0.25">
      <c r="A13" s="1"/>
      <c r="B13" s="134" t="s">
        <v>65</v>
      </c>
      <c r="C13" s="135"/>
      <c r="D13" s="135"/>
      <c r="E13" s="135"/>
      <c r="F13" s="136"/>
      <c r="G13" s="23">
        <f>SUM(G10:G12)*'Fane 15. Nøgletal'!C21</f>
        <v>2016015.8639652715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5" t="s">
        <v>66</v>
      </c>
      <c r="C16" s="126"/>
      <c r="D16" s="126"/>
      <c r="E16" s="126"/>
      <c r="F16" s="126"/>
      <c r="G16" s="126"/>
      <c r="H16" s="127"/>
      <c r="I16" s="1"/>
    </row>
    <row r="17" spans="1:9" x14ac:dyDescent="0.25">
      <c r="A17" s="1"/>
      <c r="B17" s="134" t="s">
        <v>67</v>
      </c>
      <c r="C17" s="135"/>
      <c r="D17" s="135"/>
      <c r="E17" s="135"/>
      <c r="F17" s="136"/>
      <c r="G17" s="23">
        <f>(SUM(G10:G12)-G13)*(1+'Fane 15. Nøgletal'!C10)</f>
        <v>113841141.23607996</v>
      </c>
      <c r="H17" s="14" t="s">
        <v>3</v>
      </c>
      <c r="I17" s="1"/>
    </row>
    <row r="18" spans="1:9" x14ac:dyDescent="0.25">
      <c r="A18" s="1"/>
      <c r="B18" s="137" t="s">
        <v>68</v>
      </c>
      <c r="C18" s="138"/>
      <c r="D18" s="138"/>
      <c r="E18" s="138"/>
      <c r="F18" s="139"/>
      <c r="G18" s="23">
        <v>355393.5083591899</v>
      </c>
      <c r="H18" s="14" t="s">
        <v>3</v>
      </c>
      <c r="I18" s="1"/>
    </row>
    <row r="19" spans="1:9" x14ac:dyDescent="0.25">
      <c r="A19" s="1"/>
      <c r="B19" s="134" t="s">
        <v>69</v>
      </c>
      <c r="C19" s="135"/>
      <c r="D19" s="135"/>
      <c r="E19" s="135"/>
      <c r="F19" s="136"/>
      <c r="G19" s="23">
        <f>G17*'Fane 15. Nøgletal'!C21+G18*'Fane 15. Nøgletal'!C22</f>
        <v>2018080.1234013403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5" t="s">
        <v>70</v>
      </c>
      <c r="C22" s="126"/>
      <c r="D22" s="126"/>
      <c r="E22" s="126"/>
      <c r="F22" s="126"/>
      <c r="G22" s="126"/>
      <c r="H22" s="127"/>
      <c r="I22" s="1"/>
    </row>
    <row r="23" spans="1:9" x14ac:dyDescent="0.25">
      <c r="A23" s="1"/>
      <c r="B23" s="134" t="s">
        <v>71</v>
      </c>
      <c r="C23" s="135"/>
      <c r="D23" s="135"/>
      <c r="E23" s="135"/>
      <c r="F23" s="136"/>
      <c r="G23" s="23">
        <f>(G17+G18-G19)*(1+'Fane 15. Nøgletal'!C12)</f>
        <v>114388370.17707226</v>
      </c>
      <c r="H23" s="14" t="s">
        <v>3</v>
      </c>
      <c r="I23" s="1"/>
    </row>
    <row r="24" spans="1:9" x14ac:dyDescent="0.25">
      <c r="A24" s="1"/>
      <c r="B24" s="137" t="s">
        <v>72</v>
      </c>
      <c r="C24" s="138"/>
      <c r="D24" s="138"/>
      <c r="E24" s="138"/>
      <c r="F24" s="139"/>
      <c r="G24" s="23">
        <v>18963.655185420001</v>
      </c>
      <c r="H24" s="14" t="s">
        <v>3</v>
      </c>
      <c r="I24" s="1"/>
    </row>
    <row r="25" spans="1:9" x14ac:dyDescent="0.25">
      <c r="A25" s="1"/>
      <c r="B25" s="134" t="s">
        <v>73</v>
      </c>
      <c r="C25" s="135"/>
      <c r="D25" s="135"/>
      <c r="E25" s="135"/>
      <c r="F25" s="136"/>
      <c r="G25" s="23">
        <f>(G23+G24)*'Fane 15. Nøgletal'!C23</f>
        <v>3249168.2808361179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5" t="s">
        <v>74</v>
      </c>
      <c r="C28" s="126"/>
      <c r="D28" s="126"/>
      <c r="E28" s="126"/>
      <c r="F28" s="126"/>
      <c r="G28" s="126"/>
      <c r="H28" s="127"/>
      <c r="I28" s="1"/>
    </row>
    <row r="29" spans="1:9" x14ac:dyDescent="0.25">
      <c r="A29" s="1"/>
      <c r="B29" s="134" t="s">
        <v>75</v>
      </c>
      <c r="C29" s="135"/>
      <c r="D29" s="135"/>
      <c r="E29" s="135"/>
      <c r="F29" s="136"/>
      <c r="G29" s="23">
        <f>(G23+G24-G25)*(1+'Fane 15. Nøgletal'!C12)</f>
        <v>113347981.41278456</v>
      </c>
      <c r="H29" s="14" t="s">
        <v>3</v>
      </c>
      <c r="I29" s="1"/>
    </row>
    <row r="30" spans="1:9" x14ac:dyDescent="0.25">
      <c r="A30" s="1"/>
      <c r="B30" s="134" t="s">
        <v>139</v>
      </c>
      <c r="C30" s="135"/>
      <c r="D30" s="135"/>
      <c r="E30" s="135"/>
      <c r="F30" s="136"/>
      <c r="G30" s="23">
        <v>741544.88576868002</v>
      </c>
      <c r="H30" s="14" t="s">
        <v>3</v>
      </c>
      <c r="I30" s="1"/>
    </row>
    <row r="31" spans="1:9" x14ac:dyDescent="0.25">
      <c r="A31" s="1"/>
      <c r="B31" s="134" t="s">
        <v>76</v>
      </c>
      <c r="C31" s="135"/>
      <c r="D31" s="135"/>
      <c r="E31" s="135"/>
      <c r="F31" s="136"/>
      <c r="G31" s="23">
        <f>G29*'Fane 15. Nøgletal'!C23+G30*'Fane 15. Nøgletal'!C24</f>
        <v>3239475.15648172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5" t="s">
        <v>165</v>
      </c>
      <c r="C34" s="126"/>
      <c r="D34" s="126"/>
      <c r="E34" s="126"/>
      <c r="F34" s="126"/>
      <c r="G34" s="126"/>
      <c r="H34" s="127"/>
      <c r="I34" s="1"/>
    </row>
    <row r="35" spans="1:9" x14ac:dyDescent="0.25">
      <c r="A35" s="1"/>
      <c r="B35" s="134" t="s">
        <v>78</v>
      </c>
      <c r="C35" s="135"/>
      <c r="D35" s="135"/>
      <c r="E35" s="135"/>
      <c r="F35" s="136"/>
      <c r="G35" s="23">
        <f>(G29+G30-G31)*(1+'Fane 15. Nøgletal'!C14)</f>
        <v>111215856.31084037</v>
      </c>
      <c r="H35" s="14" t="s">
        <v>3</v>
      </c>
      <c r="I35" s="1"/>
    </row>
    <row r="36" spans="1:9" x14ac:dyDescent="0.25">
      <c r="A36" s="1"/>
      <c r="B36" s="134" t="s">
        <v>167</v>
      </c>
      <c r="C36" s="135"/>
      <c r="D36" s="135"/>
      <c r="E36" s="135"/>
      <c r="F36" s="136"/>
      <c r="G36" s="23">
        <v>0</v>
      </c>
      <c r="H36" s="14" t="s">
        <v>3</v>
      </c>
      <c r="I36" s="1"/>
    </row>
    <row r="37" spans="1:9" x14ac:dyDescent="0.25">
      <c r="A37" s="1"/>
      <c r="B37" s="134" t="s">
        <v>166</v>
      </c>
      <c r="C37" s="135"/>
      <c r="D37" s="135"/>
      <c r="E37" s="135"/>
      <c r="F37" s="136"/>
      <c r="G37" s="23">
        <f>(G35+G36)*'Fane 15. Nøgletal'!C25</f>
        <v>1645994.6734004375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5" t="s">
        <v>223</v>
      </c>
      <c r="C40" s="126"/>
      <c r="D40" s="126"/>
      <c r="E40" s="126"/>
      <c r="F40" s="126"/>
      <c r="G40" s="126"/>
      <c r="H40" s="127"/>
      <c r="I40" s="1"/>
    </row>
    <row r="41" spans="1:9" x14ac:dyDescent="0.25">
      <c r="A41" s="1"/>
      <c r="B41" s="134" t="s">
        <v>77</v>
      </c>
      <c r="C41" s="135"/>
      <c r="D41" s="135"/>
      <c r="E41" s="135"/>
      <c r="F41" s="136"/>
      <c r="G41" s="23">
        <f>(G35+G36-G37)*(1+'Fane 15. Nøgletal'!C14)</f>
        <v>109931442.1808435</v>
      </c>
      <c r="H41" s="14" t="s">
        <v>3</v>
      </c>
      <c r="I41" s="1"/>
    </row>
    <row r="42" spans="1:9" x14ac:dyDescent="0.25">
      <c r="A42" s="1"/>
      <c r="B42" s="43" t="s">
        <v>231</v>
      </c>
      <c r="C42" s="90"/>
      <c r="D42" s="90"/>
      <c r="E42" s="90"/>
      <c r="F42" s="91"/>
      <c r="G42" s="48">
        <f>('Fane 2.1. Økonomisk ramme 2023'!C11+'Fane 2.1. Økonomisk ramme 2023'!C13+'Fane 2.1. Økonomisk ramme 2023'!C15)*(1+'Fane 15. Nøgletal'!C15)</f>
        <v>10803289.879628414</v>
      </c>
      <c r="H42" s="14" t="s">
        <v>3</v>
      </c>
      <c r="I42" s="1"/>
    </row>
    <row r="43" spans="1:9" x14ac:dyDescent="0.25">
      <c r="A43" s="1"/>
      <c r="B43" s="134" t="s">
        <v>168</v>
      </c>
      <c r="C43" s="135"/>
      <c r="D43" s="135"/>
      <c r="E43" s="135"/>
      <c r="F43" s="136"/>
      <c r="G43" s="23">
        <f>(G41)*'Fane 15. Nøgletal'!C25+G42*'Fane 15. Nøgletal'!C26</f>
        <v>1657234.5559394434</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5" t="s">
        <v>244</v>
      </c>
      <c r="C52" s="126"/>
      <c r="D52" s="126"/>
      <c r="E52" s="126"/>
      <c r="F52" s="126"/>
      <c r="G52" s="126"/>
      <c r="H52" s="127"/>
      <c r="I52" s="1"/>
    </row>
    <row r="53" spans="1:9" x14ac:dyDescent="0.25">
      <c r="A53" s="1"/>
      <c r="B53" s="134" t="s">
        <v>140</v>
      </c>
      <c r="C53" s="135"/>
      <c r="D53" s="135"/>
      <c r="E53" s="135"/>
      <c r="F53" s="136"/>
      <c r="G53" s="23">
        <f>(G41+G42-G43)*(1+'Fane 15. Nøgletal'!C15)</f>
        <v>123316656.41569385</v>
      </c>
      <c r="H53" s="14" t="s">
        <v>3</v>
      </c>
      <c r="I53" s="1"/>
    </row>
    <row r="54" spans="1:9" x14ac:dyDescent="0.25">
      <c r="A54" s="1"/>
      <c r="B54" s="134" t="s">
        <v>141</v>
      </c>
      <c r="C54" s="135"/>
      <c r="D54" s="135"/>
      <c r="E54" s="135"/>
      <c r="F54" s="136"/>
      <c r="G54" s="23">
        <f>(G53)*'Fane 15. Nøgletal'!C26</f>
        <v>345286.63796394278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5" t="s">
        <v>153</v>
      </c>
      <c r="C57" s="126"/>
      <c r="D57" s="126"/>
      <c r="E57" s="126"/>
      <c r="F57" s="126"/>
      <c r="G57" s="126"/>
      <c r="H57" s="127"/>
      <c r="I57" s="1"/>
    </row>
    <row r="58" spans="1:9" x14ac:dyDescent="0.25">
      <c r="A58" s="1"/>
      <c r="B58" s="134" t="s">
        <v>173</v>
      </c>
      <c r="C58" s="135"/>
      <c r="D58" s="135"/>
      <c r="E58" s="135"/>
      <c r="F58" s="136"/>
      <c r="G58" s="23">
        <f>(G53-G54)*(1+'Fane 15. Nøgletal'!C15)</f>
        <v>127349150.54181711</v>
      </c>
      <c r="H58" s="14" t="s">
        <v>3</v>
      </c>
      <c r="I58" s="1"/>
    </row>
    <row r="59" spans="1:9" x14ac:dyDescent="0.25">
      <c r="A59" s="1"/>
      <c r="B59" s="134" t="s">
        <v>174</v>
      </c>
      <c r="C59" s="135"/>
      <c r="D59" s="135"/>
      <c r="E59" s="135"/>
      <c r="F59" s="136"/>
      <c r="G59" s="23">
        <f>(G58)*'Fane 15. Nøgletal'!C26</f>
        <v>356577.62151708791</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5" t="s">
        <v>197</v>
      </c>
      <c r="C62" s="126"/>
      <c r="D62" s="126"/>
      <c r="E62" s="126"/>
      <c r="F62" s="126"/>
      <c r="G62" s="126"/>
      <c r="H62" s="127"/>
      <c r="I62" s="1"/>
    </row>
    <row r="63" spans="1:9" x14ac:dyDescent="0.25">
      <c r="A63" s="1"/>
      <c r="B63" s="134" t="s">
        <v>198</v>
      </c>
      <c r="C63" s="135"/>
      <c r="D63" s="135"/>
      <c r="E63" s="135"/>
      <c r="F63" s="136"/>
      <c r="G63" s="23">
        <f>(G58-G59)*(1+'Fane 15. Nøgletal'!C15)</f>
        <v>131513508.51626271</v>
      </c>
      <c r="H63" s="14" t="s">
        <v>3</v>
      </c>
      <c r="I63" s="1"/>
    </row>
    <row r="64" spans="1:9" x14ac:dyDescent="0.25">
      <c r="A64" s="1"/>
      <c r="B64" s="134" t="s">
        <v>199</v>
      </c>
      <c r="C64" s="135"/>
      <c r="D64" s="135"/>
      <c r="E64" s="135"/>
      <c r="F64" s="136"/>
      <c r="G64" s="23">
        <f>(G63)*'Fane 15. Nøgletal'!C26</f>
        <v>368237.82384553557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WbOWBzyt+HJjm8Ri6ZqwjqE2gVGuaKwbNRjuARpUtlo4lO/gwnNadHA8HF5mTmqw/m2HagelqD8Mdtoh27Ehmw==" saltValue="pkSj/NW9Q+OgugN8wwHaj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10</v>
      </c>
      <c r="C8" s="126"/>
      <c r="D8" s="126"/>
      <c r="E8" s="126"/>
      <c r="F8" s="126"/>
      <c r="G8" s="126"/>
      <c r="H8" s="1"/>
    </row>
    <row r="9" spans="1:8" x14ac:dyDescent="0.25">
      <c r="A9" s="1"/>
      <c r="B9" s="134" t="s">
        <v>154</v>
      </c>
      <c r="C9" s="135"/>
      <c r="D9" s="135"/>
      <c r="E9" s="135"/>
      <c r="F9" s="136"/>
      <c r="G9" s="36">
        <v>0</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3wopa0Ppn2rhKDDqDLdkf/bWYNIph8i8XxIwOzGTwAV6akRc0m9pSmmLvpw55yXhcY5hXtER+WB7+C4S9It4BA==" saltValue="+CacgBQMDOTgspzz8gnwX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2022-09-27T09:02:22Z</dcterms:modified>
</cp:coreProperties>
</file>