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Gladsaxe AS (S02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6" i="30" l="1"/>
  <c r="G10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4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E30" i="39"/>
  <c r="C23" i="22" s="1"/>
  <c r="C14" i="39"/>
  <c r="C26" i="2" s="1"/>
  <c r="E14" i="39"/>
  <c r="C27" i="2" s="1"/>
  <c r="C22" i="39"/>
  <c r="C22" i="15" s="1"/>
  <c r="C22" i="22"/>
  <c r="C22" i="23"/>
  <c r="C23" i="23"/>
  <c r="C24" i="23" l="1"/>
  <c r="C24" i="22"/>
  <c r="C24" i="15"/>
  <c r="C28" i="2"/>
  <c r="G6" i="36" l="1"/>
  <c r="G10" i="36" l="1"/>
  <c r="G13" i="36" l="1"/>
  <c r="G17" i="36" l="1"/>
  <c r="G19" i="36" s="1"/>
  <c r="G14" i="30"/>
  <c r="G18" i="30" s="1"/>
  <c r="G23" i="36" l="1"/>
  <c r="G25" i="36" s="1"/>
  <c r="G20" i="30"/>
  <c r="G29" i="36" l="1"/>
  <c r="G24" i="30"/>
  <c r="G31" i="36" l="1"/>
  <c r="F11" i="11"/>
  <c r="C10" i="37" s="1"/>
  <c r="C13" i="37" s="1"/>
  <c r="C14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7" i="30" s="1"/>
  <c r="G43" i="30" s="1"/>
  <c r="C13" i="2"/>
  <c r="G26" i="30" l="1"/>
  <c r="G30" i="30" l="1"/>
  <c r="E11" i="11"/>
  <c r="E10" i="37" s="1"/>
  <c r="E13" i="37" s="1"/>
  <c r="E14" i="37" s="1"/>
  <c r="C11" i="2" l="1"/>
  <c r="G36" i="36" s="1"/>
  <c r="G32" i="30"/>
  <c r="E18" i="27" s="1"/>
  <c r="G42" i="36" l="1"/>
  <c r="G37" i="36"/>
  <c r="G41" i="36" s="1"/>
  <c r="G36" i="30"/>
  <c r="E20" i="27"/>
  <c r="E33" i="27" s="1"/>
  <c r="C9" i="2" l="1"/>
  <c r="C16" i="2" s="1"/>
  <c r="G38" i="30"/>
  <c r="G42" i="30" s="1"/>
  <c r="G45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<sst xmlns="http://schemas.openxmlformats.org/spreadsheetml/2006/main" count="710" uniqueCount="287">
  <si>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</si>
  <si>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</si>
  <si>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</si>
  <si>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</si>
  <si>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</si>
  <si>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</si>
  <si>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</si>
  <si>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</si>
  <si>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</si>
  <si>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</si>
  <si>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</si>
  <si>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</si>
  <si>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</si>
  <si>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</si>
  <si>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</si>
  <si>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</si>
  <si>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</si>
  <si>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</si>
  <si>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</si>
  <si>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</si>
  <si>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</si>
  <si>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</si>
  <si>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</si>
  <si>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</si>
  <si>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</si>
  <si>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</si>
  <si>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</si>
  <si>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</si>
  <si>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</si>
  <si>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</si>
  <si>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</si>
  <si>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</si>
  <si>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</si>
  <si>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</si>
  <si>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</si>
  <si>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</si>
  <si>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</si>
  <si>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</si>
  <si>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</si>
  <si>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</si>
  <si>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</si>
  <si>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</si>
  <si>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</si>
  <si>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</si>
  <si>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</si>
  <si>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</si>
  <si>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</si>
  <si>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</si>
  <si>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</si>
  <si>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</si>
  <si>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</si>
  <si>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</si>
  <si>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</si>
  <si>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</si>
  <si>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</si>
  <si>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</si>
  <si>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</si>
  <si>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</si>
  <si>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</si>
  <si>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</si>
  <si>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</si>
  <si>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</si>
  <si>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</si>
  <si>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</si>
  <si>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</si>
  <si>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</si>
  <si>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</si>
  <si>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</si>
  <si>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</si>
  <si>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</si>
  <si>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</si>
  <si>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</si>
  <si>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</si>
  <si>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</si>
  <si>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</si>
  <si>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</si>
  <si>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</si>
  <si>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</si>
  <si>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</si>
  <si>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</si>
  <si>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</si>
  <si>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</si>
  <si>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</si>
  <si>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</si>
  <si>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</si>
  <si>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</si>
  <si>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</si>
  <si>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</si>
  <si>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</si>
  <si>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</si>
  <si>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</si>
  <si>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</si>
  <si>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</si>
  <si>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</si>
  <si>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</si>
  <si>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</si>
  <si>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</si>
  <si>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</si>
  <si>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</si>
  <si>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</si>
  <si>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</si>
  <si>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</si>
  <si>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</si>
  <si>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</si>
  <si>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</si>
  <si>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</si>
  <si>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</si>
  <si>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</si>
  <si>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</si>
  <si>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</si>
  <si>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</si>
  <si>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</si>
  <si>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</si>
  <si>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</si>
  <si>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</si>
  <si>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</si>
  <si>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</si>
  <si>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</si>
  <si>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</si>
  <si>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</si>
  <si>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</si>
  <si>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</si>
  <si>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</si>
  <si>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</si>
  <si>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</si>
  <si>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</si>
  <si>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</si>
  <si>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</si>
  <si>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</si>
  <si>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</si>
  <si>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</si>
  <si>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</si>
  <si>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</si>
  <si>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</si>
  <si>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</si>
  <si>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</si>
  <si>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</si>
  <si>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</si>
  <si>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</si>
  <si>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</si>
  <si>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</si>
  <si>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</si>
  <si>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</si>
  <si>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</si>
  <si>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</si>
  <si>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</si>
  <si>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</si>
  <si>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</si>
  <si>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</si>
  <si>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</si>
  <si>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</si>
  <si>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</si>
  <si>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</si>
  <si>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</si>
  <si>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</si>
  <si>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</si>
  <si>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</si>
  <si>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</si>
  <si>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</si>
  <si>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</si>
  <si>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</si>
  <si>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</si>
  <si>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</si>
  <si>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</si>
  <si>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</si>
  <si>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</si>
  <si>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</si>
  <si>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</si>
  <si>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</si>
  <si>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</si>
  <si>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</si>
  <si>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</si>
  <si>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</si>
  <si>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</si>
  <si>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</si>
  <si>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</si>
  <si>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</si>
  <si>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</si>
  <si>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</si>
  <si>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</si>
  <si>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</si>
  <si>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</si>
  <si>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</si>
  <si>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</si>
  <si>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</si>
  <si>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</si>
  <si>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</si>
  <si>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</si>
  <si>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</si>
  <si>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</si>
  <si>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</si>
  <si>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</si>
  <si>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</si>
  <si>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</si>
  <si>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</si>
  <si>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</si>
  <si>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</si>
  <si>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</si>
  <si>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</si>
  <si>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</si>
  <si>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</si>
  <si>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</si>
  <si>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</si>
  <si>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</si>
  <si>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</si>
  <si>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</si>
  <si>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</si>
  <si>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</si>
  <si>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</si>
  <si>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</si>
  <si>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</si>
  <si>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</si>
  <si>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</si>
  <si>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</si>
  <si>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</si>
  <si>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</si>
  <si>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</si>
  <si>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</si>
  <si>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</si>
  <si>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</si>
  <si>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</si>
  <si>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</si>
  <si>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</si>
  <si>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</si>
  <si>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</si>
  <si>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</si>
  <si>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</si>
  <si>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</si>
  <si>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</si>
  <si>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</si>
  <si>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</si>
  <si>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</si>
  <si>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</si>
  <si>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</si>
  <si>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</si>
  <si>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</si>
  <si>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</si>
  <si>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</si>
  <si>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</si>
  <si>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</si>
  <si>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</si>
  <si>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</si>
  <si>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</si>
  <si>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</si>
  <si>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</si>
  <si>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</si>
  <si>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</si>
  <si>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</si>
  <si>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</si>
  <si>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</si>
  <si>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</si>
  <si>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</si>
  <si>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</si>
  <si>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</si>
  <si>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</si>
  <si>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</si>
  <si>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</si>
  <si>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</si>
  <si>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</si>
  <si>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</si>
  <si>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</si>
  <si>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</si>
  <si>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</si>
  <si>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</si>
  <si>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</si>
  <si>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</si>
  <si>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</si>
  <si>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</si>
  <si>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</si>
  <si>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</si>
  <si>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</si>
  <si>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</si>
  <si>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</si>
  <si>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</si>
  <si>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</si>
  <si>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</si>
  <si>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</si>
  <si>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</si>
  <si>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</si>
  <si>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Kagsåkvarteret, Kagsåen, Harrestup mose og Harrestrup</t>
  </si>
  <si>
    <t>Udvidelse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</si>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</sst>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9" t="s">
        <v>4</v>
      </c>
      <c r="E6" s="79"/>
      <c r="F6" s="79"/>
      <c r="G6" s="79"/>
      <c r="H6" s="3"/>
      <c r="I6" s="1"/>
    </row>
    <row r="7" spans="1:9" ht="15" customHeight="1" x14ac:dyDescent="0.25">
      <c r="A7" s="1"/>
      <c r="B7" s="1"/>
      <c r="C7" s="3"/>
      <c r="D7" s="79"/>
      <c r="E7" s="79"/>
      <c r="F7" s="79"/>
      <c r="G7" s="79"/>
      <c r="H7" s="3"/>
      <c r="I7" s="1"/>
    </row>
    <row r="8" spans="1:9" ht="15.75" x14ac:dyDescent="0.25">
      <c r="A8" s="1"/>
      <c r="B8" s="1"/>
      <c r="C8" s="4"/>
      <c r="D8" s="84" t="s">
        <v>285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6" t="s">
        <v>245</v>
      </c>
      <c r="E13" s="77"/>
      <c r="F13" s="77"/>
      <c r="G13" s="78"/>
      <c r="H13" s="1"/>
      <c r="I13" s="1"/>
    </row>
    <row r="14" spans="1:9" x14ac:dyDescent="0.25">
      <c r="A14" s="1"/>
      <c r="B14" s="1"/>
      <c r="C14" s="6" t="s">
        <v>17</v>
      </c>
      <c r="D14" s="76" t="s">
        <v>246</v>
      </c>
      <c r="E14" s="77"/>
      <c r="F14" s="77"/>
      <c r="G14" s="78"/>
      <c r="H14" s="1"/>
      <c r="I14" s="1"/>
    </row>
    <row r="15" spans="1:9" x14ac:dyDescent="0.25">
      <c r="A15" s="1"/>
      <c r="B15" s="1"/>
      <c r="C15" s="6" t="s">
        <v>37</v>
      </c>
      <c r="D15" s="76" t="s">
        <v>160</v>
      </c>
      <c r="E15" s="77"/>
      <c r="F15" s="77"/>
      <c r="G15" s="78"/>
      <c r="H15" s="1"/>
      <c r="I15" s="1"/>
    </row>
    <row r="16" spans="1:9" x14ac:dyDescent="0.25">
      <c r="A16" s="1"/>
      <c r="B16" s="1"/>
      <c r="C16" s="6" t="s">
        <v>38</v>
      </c>
      <c r="D16" s="76" t="s">
        <v>247</v>
      </c>
      <c r="E16" s="77"/>
      <c r="F16" s="77"/>
      <c r="G16" s="78"/>
      <c r="H16" s="1"/>
      <c r="I16" s="1"/>
    </row>
    <row r="17" spans="1:9" x14ac:dyDescent="0.25">
      <c r="A17" s="1"/>
      <c r="B17" s="1"/>
      <c r="C17" s="6" t="s">
        <v>144</v>
      </c>
      <c r="D17" s="76" t="s">
        <v>248</v>
      </c>
      <c r="E17" s="77"/>
      <c r="F17" s="77"/>
      <c r="G17" s="78"/>
      <c r="H17" s="1"/>
      <c r="I17" s="1"/>
    </row>
    <row r="18" spans="1:9" x14ac:dyDescent="0.25">
      <c r="A18" s="1"/>
      <c r="B18" s="1"/>
      <c r="C18" s="6" t="s">
        <v>124</v>
      </c>
      <c r="D18" s="73" t="s">
        <v>110</v>
      </c>
      <c r="E18" s="74"/>
      <c r="F18" s="74"/>
      <c r="G18" s="75"/>
      <c r="H18" s="1"/>
      <c r="I18" s="1"/>
    </row>
    <row r="19" spans="1:9" x14ac:dyDescent="0.25">
      <c r="A19" s="1"/>
      <c r="B19" s="1"/>
      <c r="C19" s="6" t="s">
        <v>125</v>
      </c>
      <c r="D19" s="73" t="s">
        <v>111</v>
      </c>
      <c r="E19" s="74"/>
      <c r="F19" s="74"/>
      <c r="G19" s="75"/>
      <c r="H19" s="1"/>
      <c r="I19" s="1"/>
    </row>
    <row r="20" spans="1:9" x14ac:dyDescent="0.25">
      <c r="A20" s="1"/>
      <c r="B20" s="1"/>
      <c r="C20" s="6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126</v>
      </c>
      <c r="D21" s="80" t="s">
        <v>13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91</v>
      </c>
      <c r="D22" s="67" t="s">
        <v>249</v>
      </c>
      <c r="E22" s="68"/>
      <c r="F22" s="68"/>
      <c r="G22" s="69"/>
      <c r="H22" s="1"/>
      <c r="I22" s="1"/>
    </row>
    <row r="23" spans="1:9" x14ac:dyDescent="0.25">
      <c r="A23" s="1"/>
      <c r="B23" s="1"/>
      <c r="C23" s="6" t="s">
        <v>8</v>
      </c>
      <c r="D23" s="67" t="s">
        <v>195</v>
      </c>
      <c r="E23" s="68"/>
      <c r="F23" s="68"/>
      <c r="G23" s="69"/>
      <c r="H23" s="1"/>
      <c r="I23" s="1"/>
    </row>
    <row r="24" spans="1:9" x14ac:dyDescent="0.25">
      <c r="A24" s="1"/>
      <c r="B24" s="1"/>
      <c r="C24" s="6" t="s">
        <v>9</v>
      </c>
      <c r="D24" s="67" t="s">
        <v>39</v>
      </c>
      <c r="E24" s="68"/>
      <c r="F24" s="68"/>
      <c r="G24" s="69"/>
      <c r="H24" s="1"/>
      <c r="I24" s="1"/>
    </row>
    <row r="25" spans="1:9" x14ac:dyDescent="0.25">
      <c r="A25" s="1"/>
      <c r="B25" s="1"/>
      <c r="C25" s="6" t="s">
        <v>127</v>
      </c>
      <c r="D25" s="67" t="s">
        <v>92</v>
      </c>
      <c r="E25" s="68"/>
      <c r="F25" s="68"/>
      <c r="G25" s="69"/>
      <c r="H25" s="1"/>
      <c r="I25" s="1"/>
    </row>
    <row r="26" spans="1:9" x14ac:dyDescent="0.25">
      <c r="A26" s="1"/>
      <c r="B26" s="1"/>
      <c r="C26" s="6" t="s">
        <v>128</v>
      </c>
      <c r="D26" s="67" t="s">
        <v>93</v>
      </c>
      <c r="E26" s="68"/>
      <c r="F26" s="68"/>
      <c r="G26" s="69"/>
      <c r="H26" s="1"/>
      <c r="I26" s="1"/>
    </row>
    <row r="27" spans="1:9" x14ac:dyDescent="0.25">
      <c r="A27" s="1"/>
      <c r="B27" s="1"/>
      <c r="C27" s="6" t="s">
        <v>129</v>
      </c>
      <c r="D27" s="67" t="s">
        <v>94</v>
      </c>
      <c r="E27" s="68"/>
      <c r="F27" s="68"/>
      <c r="G27" s="69"/>
      <c r="H27" s="1"/>
      <c r="I27" s="1"/>
    </row>
    <row r="28" spans="1:9" x14ac:dyDescent="0.25">
      <c r="A28" s="1"/>
      <c r="B28" s="1"/>
      <c r="C28" s="6" t="s">
        <v>16</v>
      </c>
      <c r="D28" s="67" t="s">
        <v>161</v>
      </c>
      <c r="E28" s="68"/>
      <c r="F28" s="68"/>
      <c r="G28" s="69"/>
      <c r="H28" s="1"/>
      <c r="I28" s="1"/>
    </row>
    <row r="29" spans="1:9" x14ac:dyDescent="0.25">
      <c r="A29" s="1"/>
      <c r="B29" s="1"/>
      <c r="C29" s="6" t="s">
        <v>41</v>
      </c>
      <c r="D29" s="67" t="s">
        <v>40</v>
      </c>
      <c r="E29" s="68"/>
      <c r="F29" s="68"/>
      <c r="G29" s="69"/>
      <c r="H29" s="1"/>
      <c r="I29" s="1"/>
    </row>
    <row r="30" spans="1:9" x14ac:dyDescent="0.25">
      <c r="A30" s="1"/>
      <c r="B30" s="1"/>
      <c r="C30" s="6" t="s">
        <v>42</v>
      </c>
      <c r="D30" s="70" t="s">
        <v>123</v>
      </c>
      <c r="E30" s="71"/>
      <c r="F30" s="71"/>
      <c r="G30" s="7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weqj6idwgp1JwUpg2xd/RFv0NLonQlUPO88knmy6jFp1u4YZ8kHpuX6lkg0lH82qkLqRZ+GcEhzn71Bk3Srpw==" saltValue="o55oVObjMFXfjAmVZk0ukA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5" t="s">
        <v>132</v>
      </c>
      <c r="C3" s="85"/>
      <c r="D3" s="85"/>
      <c r="E3" s="1"/>
      <c r="F3" s="1"/>
    </row>
    <row r="4" spans="1:6" ht="15" customHeight="1" x14ac:dyDescent="0.25">
      <c r="A4" s="1"/>
      <c r="B4" s="85"/>
      <c r="C4" s="85"/>
      <c r="D4" s="8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208</v>
      </c>
      <c r="C8" s="98"/>
      <c r="D8" s="99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3" t="s">
        <v>262</v>
      </c>
      <c r="C10" s="9">
        <v>105468</v>
      </c>
      <c r="D10" s="14" t="s">
        <v>3</v>
      </c>
      <c r="E10" s="1"/>
      <c r="F10" s="1"/>
    </row>
    <row r="11" spans="1:6" x14ac:dyDescent="0.25">
      <c r="A11" s="1"/>
      <c r="B11" s="63" t="s">
        <v>263</v>
      </c>
      <c r="C11" s="9">
        <v>32212677</v>
      </c>
      <c r="D11" s="14" t="s">
        <v>3</v>
      </c>
      <c r="E11" s="1"/>
      <c r="F11" s="1"/>
    </row>
    <row r="12" spans="1:6" x14ac:dyDescent="0.25">
      <c r="A12" s="1"/>
      <c r="B12" s="63" t="s">
        <v>264</v>
      </c>
      <c r="C12" s="9">
        <v>464720</v>
      </c>
      <c r="D12" s="14" t="s">
        <v>3</v>
      </c>
      <c r="E12" s="1"/>
      <c r="F12" s="1"/>
    </row>
    <row r="13" spans="1:6" x14ac:dyDescent="0.25">
      <c r="A13" s="1"/>
      <c r="B13" s="63" t="s">
        <v>265</v>
      </c>
      <c r="C13" s="9">
        <v>739835</v>
      </c>
      <c r="D13" s="14" t="s">
        <v>3</v>
      </c>
      <c r="E13" s="1"/>
      <c r="F13" s="1"/>
    </row>
    <row r="14" spans="1:6" x14ac:dyDescent="0.25">
      <c r="A14" s="1"/>
      <c r="B14" s="38" t="s">
        <v>209</v>
      </c>
      <c r="C14" s="12">
        <f>SUM(C10:C13)</f>
        <v>33522700</v>
      </c>
      <c r="D14" s="13" t="s">
        <v>3</v>
      </c>
      <c r="E14" s="1"/>
      <c r="F14" s="1"/>
    </row>
    <row r="15" spans="1:6" x14ac:dyDescent="0.25">
      <c r="A15" s="1"/>
      <c r="B15" s="38" t="s">
        <v>210</v>
      </c>
      <c r="C15" s="12">
        <f>C14*(1+'Fane 14. Nøgletal'!C14)^2</f>
        <v>33744314.882203005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7" t="s">
        <v>142</v>
      </c>
      <c r="C18" s="98"/>
      <c r="D18" s="99"/>
      <c r="E18" s="1"/>
      <c r="F18" s="1"/>
    </row>
    <row r="19" spans="1:6" x14ac:dyDescent="0.25">
      <c r="A19" s="1"/>
      <c r="B19" s="63" t="s">
        <v>116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3" t="s">
        <v>117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3" t="s">
        <v>154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3" t="s">
        <v>211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7"/>
      <c r="C23" s="98"/>
      <c r="D23" s="99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7" t="s">
        <v>115</v>
      </c>
      <c r="C26" s="98"/>
      <c r="D26" s="99"/>
      <c r="E26" s="1"/>
      <c r="F26" s="1"/>
    </row>
    <row r="27" spans="1:6" x14ac:dyDescent="0.25">
      <c r="A27" s="1"/>
      <c r="B27" s="63" t="s">
        <v>116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3" t="s">
        <v>117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3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3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7"/>
      <c r="C31" s="98"/>
      <c r="D31" s="99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2bt/ae/Ov79evaDwOtzDbzH0GQ6NxQ73aRvltG/go255M5+yUoJNPrhyWHpJWKNu06QNNguIAm7Q/g0R529wgw==" saltValue="TGIetzrxKYiWSaOfAQvjJ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212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ht="15" customHeight="1" x14ac:dyDescent="0.25">
      <c r="A5" s="1"/>
      <c r="B5" s="59"/>
      <c r="C5" s="59"/>
      <c r="D5" s="59"/>
      <c r="E5" s="59"/>
      <c r="F5" s="59"/>
      <c r="G5" s="1"/>
    </row>
    <row r="6" spans="1:7" ht="15" customHeight="1" x14ac:dyDescent="0.25">
      <c r="A6" s="1"/>
      <c r="B6" s="59"/>
      <c r="C6" s="59"/>
      <c r="D6" s="59"/>
      <c r="E6" s="59"/>
      <c r="F6" s="5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267</v>
      </c>
      <c r="C8" s="98"/>
      <c r="D8" s="98"/>
      <c r="E8" s="98"/>
      <c r="F8" s="99"/>
      <c r="G8" s="1"/>
    </row>
    <row r="9" spans="1:7" x14ac:dyDescent="0.25">
      <c r="A9" s="1"/>
      <c r="B9" s="102" t="s">
        <v>268</v>
      </c>
      <c r="C9" s="103"/>
      <c r="D9" s="104"/>
      <c r="E9" s="9">
        <v>10389194.566194713</v>
      </c>
      <c r="F9" s="14" t="s">
        <v>3</v>
      </c>
      <c r="G9" s="1"/>
    </row>
    <row r="10" spans="1:7" x14ac:dyDescent="0.25">
      <c r="A10" s="1"/>
      <c r="B10" s="102" t="s">
        <v>269</v>
      </c>
      <c r="C10" s="103"/>
      <c r="D10" s="104"/>
      <c r="E10" s="9">
        <v>4886290.8333898187</v>
      </c>
      <c r="F10" s="14" t="s">
        <v>3</v>
      </c>
      <c r="G10" s="1"/>
    </row>
    <row r="11" spans="1:7" x14ac:dyDescent="0.25">
      <c r="A11" s="1"/>
      <c r="B11" s="102" t="s">
        <v>270</v>
      </c>
      <c r="C11" s="103"/>
      <c r="D11" s="104"/>
      <c r="E11" s="9">
        <v>4886290.8333898187</v>
      </c>
      <c r="F11" s="14" t="s">
        <v>3</v>
      </c>
      <c r="G11" s="1"/>
    </row>
    <row r="12" spans="1:7" x14ac:dyDescent="0.25">
      <c r="A12" s="1"/>
      <c r="B12" s="102" t="s">
        <v>271</v>
      </c>
      <c r="C12" s="103"/>
      <c r="D12" s="104"/>
      <c r="E12" s="9">
        <v>-1955690.6493625641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87" t="s">
        <v>272</v>
      </c>
      <c r="C14" s="88"/>
      <c r="D14" s="88"/>
      <c r="E14" s="88"/>
      <c r="F14" s="89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273</v>
      </c>
      <c r="C16" s="98"/>
      <c r="D16" s="98"/>
      <c r="E16" s="98"/>
      <c r="F16" s="99"/>
      <c r="G16" s="1"/>
    </row>
    <row r="17" spans="1:7" x14ac:dyDescent="0.25">
      <c r="A17" s="1"/>
      <c r="B17" s="102" t="s">
        <v>274</v>
      </c>
      <c r="C17" s="103"/>
      <c r="D17" s="104"/>
      <c r="E17" s="9">
        <v>0</v>
      </c>
      <c r="F17" s="14" t="s">
        <v>3</v>
      </c>
      <c r="G17" s="1"/>
    </row>
    <row r="18" spans="1:7" x14ac:dyDescent="0.25">
      <c r="A18" s="1"/>
      <c r="B18" s="102" t="s">
        <v>275</v>
      </c>
      <c r="C18" s="103"/>
      <c r="D18" s="104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87" t="s">
        <v>276</v>
      </c>
      <c r="C20" s="88"/>
      <c r="D20" s="88"/>
      <c r="E20" s="88"/>
      <c r="F20" s="8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4" t="s">
        <v>213</v>
      </c>
      <c r="C22" s="55"/>
      <c r="D22" s="55"/>
      <c r="E22" s="55"/>
      <c r="F22" s="56"/>
      <c r="G22" s="1"/>
    </row>
    <row r="23" spans="1:7" x14ac:dyDescent="0.25">
      <c r="A23" s="1"/>
      <c r="B23" s="60" t="s">
        <v>214</v>
      </c>
      <c r="C23" s="61"/>
      <c r="D23" s="62"/>
      <c r="E23" s="9">
        <v>74764339.362629279</v>
      </c>
      <c r="F23" s="14" t="s">
        <v>3</v>
      </c>
      <c r="G23" s="1"/>
    </row>
    <row r="24" spans="1:7" x14ac:dyDescent="0.25">
      <c r="A24" s="1"/>
      <c r="B24" s="60" t="s">
        <v>215</v>
      </c>
      <c r="C24" s="61"/>
      <c r="D24" s="62"/>
      <c r="E24" s="9">
        <v>96481853</v>
      </c>
      <c r="F24" s="14" t="s">
        <v>3</v>
      </c>
      <c r="G24" s="1"/>
    </row>
    <row r="25" spans="1:7" x14ac:dyDescent="0.2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57" t="s">
        <v>277</v>
      </c>
      <c r="C26" s="58"/>
      <c r="D26" s="65"/>
      <c r="E26" s="47">
        <f>E23-(E24-E25)</f>
        <v>-21717513.637370721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7" t="s">
        <v>186</v>
      </c>
      <c r="C30" s="98"/>
      <c r="D30" s="98"/>
      <c r="E30" s="98"/>
      <c r="F30" s="99"/>
      <c r="G30" s="1"/>
    </row>
    <row r="31" spans="1:7" x14ac:dyDescent="0.25">
      <c r="A31" s="1"/>
      <c r="B31" s="118" t="s">
        <v>283</v>
      </c>
      <c r="C31" s="119"/>
      <c r="D31" s="120"/>
      <c r="E31" s="9">
        <v>3</v>
      </c>
      <c r="F31" s="14"/>
      <c r="G31" s="1"/>
    </row>
    <row r="32" spans="1:7" x14ac:dyDescent="0.25">
      <c r="A32" s="1"/>
      <c r="B32" s="118" t="s">
        <v>187</v>
      </c>
      <c r="C32" s="119"/>
      <c r="D32" s="120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-8397718.8871487528</v>
      </c>
      <c r="F32" s="14" t="s">
        <v>3</v>
      </c>
      <c r="G32" s="1"/>
    </row>
    <row r="33" spans="1:7" x14ac:dyDescent="0.25">
      <c r="A33" s="1"/>
      <c r="B33" s="118" t="s">
        <v>120</v>
      </c>
      <c r="C33" s="119"/>
      <c r="D33" s="120"/>
      <c r="E33" s="9">
        <v>2</v>
      </c>
      <c r="F33" s="14" t="s">
        <v>21</v>
      </c>
      <c r="G33" s="1"/>
    </row>
    <row r="34" spans="1:7" x14ac:dyDescent="0.25">
      <c r="A34" s="1"/>
      <c r="B34" s="114" t="s">
        <v>188</v>
      </c>
      <c r="C34" s="114"/>
      <c r="D34" s="114"/>
      <c r="E34" s="10">
        <f>E32/E33</f>
        <v>-4198859.4435743764</v>
      </c>
      <c r="F34" s="17" t="s">
        <v>3</v>
      </c>
      <c r="G34" s="1"/>
    </row>
    <row r="35" spans="1:7" x14ac:dyDescent="0.25">
      <c r="A35" s="1"/>
      <c r="B35" s="115"/>
      <c r="C35" s="116"/>
      <c r="D35" s="116"/>
      <c r="E35" s="116"/>
      <c r="F35" s="117"/>
      <c r="G35" s="1"/>
    </row>
    <row r="36" spans="1:7" ht="75" customHeight="1" x14ac:dyDescent="0.25">
      <c r="A36" s="1"/>
      <c r="B36" s="87" t="s">
        <v>282</v>
      </c>
      <c r="C36" s="88"/>
      <c r="D36" s="88"/>
      <c r="E36" s="88"/>
      <c r="F36" s="8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PUrFa5+AFRvFhQ1aqd3jh1BW2AxJ4ZIfDLcEDWfITCDwAf4ybzte7ARPBVVjOD64mM4cpkg9pL8OgP/BVW7FJA==" saltValue="8et2jH+xNDU41/DHnoiLEg==" spinCount="100000" sheet="1" objects="1" scenarios="1"/>
  <mergeCells count="18"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4:D34"/>
    <mergeCell ref="B35:F35"/>
    <mergeCell ref="B36:F36"/>
    <mergeCell ref="B20:F20"/>
    <mergeCell ref="B30:F30"/>
    <mergeCell ref="B31:D31"/>
    <mergeCell ref="B32:D32"/>
    <mergeCell ref="B33:D33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0" t="s">
        <v>216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7" t="s">
        <v>217</v>
      </c>
      <c r="C9" s="98"/>
      <c r="D9" s="98"/>
      <c r="E9" s="98"/>
      <c r="F9" s="99"/>
      <c r="G9" s="1"/>
    </row>
    <row r="10" spans="1:7" x14ac:dyDescent="0.25">
      <c r="A10" s="1"/>
      <c r="B10" s="87" t="s">
        <v>118</v>
      </c>
      <c r="C10" s="88"/>
      <c r="D10" s="89"/>
      <c r="E10" s="7">
        <v>0</v>
      </c>
      <c r="F10" s="8" t="s">
        <v>3</v>
      </c>
      <c r="G10" s="1"/>
    </row>
    <row r="11" spans="1:7" x14ac:dyDescent="0.25">
      <c r="A11" s="1"/>
      <c r="B11" s="102" t="s">
        <v>218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100" t="s">
        <v>119</v>
      </c>
      <c r="C12" s="101"/>
      <c r="D12" s="121"/>
      <c r="E12" s="10">
        <f>E11-E10</f>
        <v>0</v>
      </c>
      <c r="F12" s="11" t="s">
        <v>3</v>
      </c>
      <c r="G12" s="1"/>
    </row>
    <row r="13" spans="1:7" x14ac:dyDescent="0.25">
      <c r="A13" s="1"/>
      <c r="B13" s="97" t="s">
        <v>109</v>
      </c>
      <c r="C13" s="98"/>
      <c r="D13" s="98"/>
      <c r="E13" s="98"/>
      <c r="F13" s="99"/>
      <c r="G13" s="1"/>
    </row>
    <row r="14" spans="1:7" x14ac:dyDescent="0.25">
      <c r="A14" s="1"/>
      <c r="B14" s="102" t="s">
        <v>219</v>
      </c>
      <c r="C14" s="103"/>
      <c r="D14" s="104"/>
      <c r="E14" s="9">
        <v>0</v>
      </c>
      <c r="F14" s="8" t="s">
        <v>3</v>
      </c>
      <c r="G14" s="1"/>
    </row>
    <row r="15" spans="1:7" x14ac:dyDescent="0.25">
      <c r="A15" s="1"/>
      <c r="B15" s="87" t="s">
        <v>220</v>
      </c>
      <c r="C15" s="88"/>
      <c r="D15" s="89"/>
      <c r="E15" s="9">
        <v>0</v>
      </c>
      <c r="F15" s="8" t="s">
        <v>3</v>
      </c>
      <c r="G15" s="1"/>
    </row>
    <row r="16" spans="1:7" x14ac:dyDescent="0.25">
      <c r="A16" s="1"/>
      <c r="B16" s="100" t="s">
        <v>119</v>
      </c>
      <c r="C16" s="101"/>
      <c r="D16" s="121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L+Y9NgSW0yN7lzK8R+i0ivh+an60hMGcLNQrrzDzfsSnxhV7SnoeVEfrQ6ezrdBxs7HNPeMlUudJ3cAeJ3u4A==" saltValue="Ngj24NeoiecJYYHt7CYdj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177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178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6" t="s">
        <v>284</v>
      </c>
      <c r="C10" s="48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7" t="s">
        <v>179</v>
      </c>
      <c r="C11" s="98"/>
      <c r="D11" s="9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AqebMw8rQwm1nfuKF5R2DwCwi494StG9f7dxnFLU5a6a7wOgqf2Dv8tMDe1p7NJjYS17Lkqf9zsQwLFs+xsFg==" saltValue="/iYiexy5gMIB3bpbvYa4s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ht="26.25" x14ac:dyDescent="0.25">
      <c r="A11" s="1"/>
      <c r="B11" s="66" t="s">
        <v>279</v>
      </c>
      <c r="C11" s="22">
        <v>240054</v>
      </c>
      <c r="D11" s="14" t="s">
        <v>3</v>
      </c>
      <c r="E11" s="9">
        <v>1300275</v>
      </c>
      <c r="F11" s="14" t="s">
        <v>3</v>
      </c>
      <c r="G11" s="1"/>
    </row>
    <row r="12" spans="1:7" x14ac:dyDescent="0.25">
      <c r="A12" s="1"/>
      <c r="B12" s="25" t="s">
        <v>280</v>
      </c>
      <c r="C12" s="22">
        <v>59080</v>
      </c>
      <c r="D12" s="14" t="s">
        <v>3</v>
      </c>
      <c r="E12" s="9">
        <v>7285</v>
      </c>
      <c r="F12" s="14" t="s">
        <v>3</v>
      </c>
      <c r="G12" s="1"/>
    </row>
    <row r="13" spans="1:7" x14ac:dyDescent="0.25">
      <c r="A13" s="1"/>
      <c r="B13" s="38" t="s">
        <v>163</v>
      </c>
      <c r="C13" s="12">
        <f>SUM(C10:C12)</f>
        <v>299134</v>
      </c>
      <c r="D13" s="13" t="s">
        <v>3</v>
      </c>
      <c r="E13" s="12">
        <f>SUM(E10:E12)</f>
        <v>1307560</v>
      </c>
      <c r="F13" s="13" t="s">
        <v>3</v>
      </c>
      <c r="G13" s="1"/>
    </row>
    <row r="14" spans="1:7" x14ac:dyDescent="0.25">
      <c r="A14" s="1"/>
      <c r="B14" s="38" t="s">
        <v>222</v>
      </c>
      <c r="C14" s="12">
        <f>C13*(1+'Fane 14. Nøgletal'!C14)</f>
        <v>300121.1422</v>
      </c>
      <c r="D14" s="13" t="s">
        <v>3</v>
      </c>
      <c r="E14" s="12">
        <f>E13*(1+'Fane 14. Nøgletal'!C14)</f>
        <v>1311874.9480000001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4fuJtqAyKlO5ugmlbuQIMHCkFeSLd0ix0LFVT04H8asnztFMapkQ17KX5xHV7acEg6EN8LoT+FTVJ6o7cheT2w==" saltValue="c+FlfIA6Vm7sthjuSPvs4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134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112</v>
      </c>
      <c r="C8" s="98"/>
      <c r="D8" s="98"/>
      <c r="E8" s="98"/>
      <c r="F8" s="99"/>
      <c r="G8" s="1"/>
    </row>
    <row r="9" spans="1:7" x14ac:dyDescent="0.2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2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113</v>
      </c>
      <c r="C16" s="98"/>
      <c r="D16" s="98"/>
      <c r="E16" s="98"/>
      <c r="F16" s="99"/>
      <c r="G16" s="1"/>
    </row>
    <row r="17" spans="1:7" x14ac:dyDescent="0.2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2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166</v>
      </c>
      <c r="C24" s="98"/>
      <c r="D24" s="98"/>
      <c r="E24" s="98"/>
      <c r="F24" s="99"/>
      <c r="G24" s="1"/>
    </row>
    <row r="25" spans="1:7" x14ac:dyDescent="0.2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2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224</v>
      </c>
      <c r="C32" s="98"/>
      <c r="D32" s="98"/>
      <c r="E32" s="98"/>
      <c r="F32" s="99"/>
      <c r="G32" s="1"/>
    </row>
    <row r="33" spans="1:7" x14ac:dyDescent="0.2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2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PtRPwuYfovzcpUduulUbNoFASewqOaAS3oo0pPPtkDtOgD5uGmetZWmAH+HUC1R9mAT0bs9ykWTVHoMRbduoQ==" saltValue="BrdnIk/iEQ8/x2RnOFu/L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136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0"/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103</v>
      </c>
      <c r="C8" s="98"/>
      <c r="D8" s="98"/>
      <c r="E8" s="98"/>
      <c r="F8" s="99"/>
      <c r="G8" s="1"/>
    </row>
    <row r="9" spans="1:7" x14ac:dyDescent="0.25">
      <c r="A9" s="1"/>
      <c r="B9" s="122" t="s">
        <v>226</v>
      </c>
      <c r="C9" s="123"/>
      <c r="D9" s="124"/>
      <c r="E9" s="9">
        <v>113471.2744145723</v>
      </c>
      <c r="F9" s="14" t="s">
        <v>3</v>
      </c>
      <c r="G9" s="1"/>
    </row>
    <row r="10" spans="1:7" x14ac:dyDescent="0.25">
      <c r="A10" s="1"/>
      <c r="B10" s="91" t="s">
        <v>10</v>
      </c>
      <c r="C10" s="92"/>
      <c r="D10" s="93"/>
      <c r="E10" s="9">
        <f>-E9*'Fane 5. Individuelt eff. krav'!G12</f>
        <v>-2101.9351292965539</v>
      </c>
      <c r="F10" s="14" t="s">
        <v>3</v>
      </c>
      <c r="G10" s="1"/>
    </row>
    <row r="11" spans="1:7" x14ac:dyDescent="0.25">
      <c r="A11" s="1"/>
      <c r="B11" s="91" t="s">
        <v>26</v>
      </c>
      <c r="C11" s="92"/>
      <c r="D11" s="93"/>
      <c r="E11" s="9">
        <f>-E9*'Fane 14. Nøgletal'!C29</f>
        <v>-2269.4254882914461</v>
      </c>
      <c r="F11" s="14" t="s">
        <v>3</v>
      </c>
      <c r="G11" s="1"/>
    </row>
    <row r="12" spans="1:7" x14ac:dyDescent="0.25">
      <c r="A12" s="1"/>
      <c r="B12" s="97" t="s">
        <v>105</v>
      </c>
      <c r="C12" s="98"/>
      <c r="D12" s="99"/>
      <c r="E12" s="12">
        <f>SUM(E9:E11)*(1+'Fane 14. Nøgletal'!C14)^2</f>
        <v>109821.16132610566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104</v>
      </c>
      <c r="C14" s="98"/>
      <c r="D14" s="98"/>
      <c r="E14" s="98"/>
      <c r="F14" s="99"/>
      <c r="G14" s="1"/>
    </row>
    <row r="15" spans="1:7" ht="15" customHeight="1" x14ac:dyDescent="0.25">
      <c r="A15" s="1"/>
      <c r="B15" s="122" t="s">
        <v>226</v>
      </c>
      <c r="C15" s="123"/>
      <c r="D15" s="124"/>
      <c r="E15" s="9">
        <v>113471.2744145723</v>
      </c>
      <c r="F15" s="14" t="s">
        <v>3</v>
      </c>
      <c r="G15" s="1"/>
    </row>
    <row r="16" spans="1:7" x14ac:dyDescent="0.25">
      <c r="A16" s="1"/>
      <c r="B16" s="91" t="s">
        <v>10</v>
      </c>
      <c r="C16" s="92"/>
      <c r="D16" s="93"/>
      <c r="E16" s="9">
        <f>-E15*'Fane 5. Individuelt eff. krav'!G12</f>
        <v>-2101.9351292965539</v>
      </c>
      <c r="F16" s="14" t="s">
        <v>3</v>
      </c>
      <c r="G16" s="1"/>
    </row>
    <row r="17" spans="1:7" x14ac:dyDescent="0.25">
      <c r="A17" s="1"/>
      <c r="B17" s="91" t="s">
        <v>26</v>
      </c>
      <c r="C17" s="92"/>
      <c r="D17" s="93"/>
      <c r="E17" s="9">
        <f>-E15*'Fane 14. Nøgletal'!C29</f>
        <v>-2269.4254882914461</v>
      </c>
      <c r="F17" s="14" t="s">
        <v>3</v>
      </c>
      <c r="G17" s="1"/>
    </row>
    <row r="18" spans="1:7" x14ac:dyDescent="0.25">
      <c r="A18" s="1"/>
      <c r="B18" s="97" t="s">
        <v>106</v>
      </c>
      <c r="C18" s="98"/>
      <c r="D18" s="99"/>
      <c r="E18" s="12">
        <f>SUM(E15:E17)*(1+'Fane 14. Nøgletal'!C14)^3</f>
        <v>110183.57115848182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155</v>
      </c>
      <c r="C20" s="98"/>
      <c r="D20" s="98"/>
      <c r="E20" s="98"/>
      <c r="F20" s="99"/>
      <c r="G20" s="1"/>
    </row>
    <row r="21" spans="1:7" ht="15" customHeight="1" x14ac:dyDescent="0.25">
      <c r="A21" s="1"/>
      <c r="B21" s="122" t="s">
        <v>226</v>
      </c>
      <c r="C21" s="123"/>
      <c r="D21" s="124"/>
      <c r="E21" s="9">
        <v>113471.2744145723</v>
      </c>
      <c r="F21" s="14" t="s">
        <v>3</v>
      </c>
      <c r="G21" s="1"/>
    </row>
    <row r="22" spans="1:7" x14ac:dyDescent="0.25">
      <c r="A22" s="1"/>
      <c r="B22" s="91" t="s">
        <v>10</v>
      </c>
      <c r="C22" s="92"/>
      <c r="D22" s="93"/>
      <c r="E22" s="9">
        <f>-E21*'Fane 5. Individuelt eff. krav'!G12</f>
        <v>-2101.9351292965539</v>
      </c>
      <c r="F22" s="14" t="s">
        <v>3</v>
      </c>
      <c r="G22" s="1"/>
    </row>
    <row r="23" spans="1:7" x14ac:dyDescent="0.25">
      <c r="A23" s="1"/>
      <c r="B23" s="91" t="s">
        <v>26</v>
      </c>
      <c r="C23" s="92"/>
      <c r="D23" s="93"/>
      <c r="E23" s="9">
        <f>-E21*'Fane 14. Nøgletal'!C29</f>
        <v>-2269.4254882914461</v>
      </c>
      <c r="F23" s="14" t="s">
        <v>3</v>
      </c>
      <c r="G23" s="1"/>
    </row>
    <row r="24" spans="1:7" x14ac:dyDescent="0.25">
      <c r="A24" s="1"/>
      <c r="B24" s="97" t="s">
        <v>156</v>
      </c>
      <c r="C24" s="98"/>
      <c r="D24" s="99"/>
      <c r="E24" s="12">
        <f>SUM(E21:E23)*(1+'Fane 14. Nøgletal'!C14)^4</f>
        <v>110547.17694330482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227</v>
      </c>
      <c r="C26" s="98"/>
      <c r="D26" s="98"/>
      <c r="E26" s="98"/>
      <c r="F26" s="99"/>
      <c r="G26" s="1"/>
    </row>
    <row r="27" spans="1:7" ht="15" customHeight="1" x14ac:dyDescent="0.25">
      <c r="A27" s="1"/>
      <c r="B27" s="122" t="s">
        <v>226</v>
      </c>
      <c r="C27" s="123"/>
      <c r="D27" s="124"/>
      <c r="E27" s="9">
        <v>113471.2744145723</v>
      </c>
      <c r="F27" s="14" t="s">
        <v>3</v>
      </c>
      <c r="G27" s="1"/>
    </row>
    <row r="28" spans="1:7" x14ac:dyDescent="0.25">
      <c r="A28" s="1"/>
      <c r="B28" s="91" t="s">
        <v>10</v>
      </c>
      <c r="C28" s="92"/>
      <c r="D28" s="93"/>
      <c r="E28" s="9">
        <f>-E27*'Fane 5. Individuelt eff. krav'!G12</f>
        <v>-2101.9351292965539</v>
      </c>
      <c r="F28" s="14" t="s">
        <v>3</v>
      </c>
      <c r="G28" s="1"/>
    </row>
    <row r="29" spans="1:7" x14ac:dyDescent="0.25">
      <c r="A29" s="1"/>
      <c r="B29" s="91" t="s">
        <v>26</v>
      </c>
      <c r="C29" s="92"/>
      <c r="D29" s="93"/>
      <c r="E29" s="9">
        <f>-E27*'Fane 14. Nøgletal'!C29</f>
        <v>-2269.4254882914461</v>
      </c>
      <c r="F29" s="14" t="s">
        <v>3</v>
      </c>
      <c r="G29" s="1"/>
    </row>
    <row r="30" spans="1:7" x14ac:dyDescent="0.25">
      <c r="A30" s="1"/>
      <c r="B30" s="97" t="s">
        <v>228</v>
      </c>
      <c r="C30" s="98"/>
      <c r="D30" s="99"/>
      <c r="E30" s="12">
        <f>SUM(E27:E29)*(1+'Fane 14. Nøgletal'!C14)^5</f>
        <v>110911.98262721773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wOhLXVyEuSFr65/y+Zxar75Wqd3dJTHCyH5Qg/TtKrRCrGaJGg+zxa6HcydvSN1JIlqZ6HZHT197VZJeKqzYA==" saltValue="jS0omZktlGfJ6HuZtOats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157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158</v>
      </c>
      <c r="C8" s="98"/>
      <c r="D8" s="98"/>
      <c r="E8" s="98"/>
      <c r="F8" s="99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4aMsp6IC6IURnPj4EUIc8tnytDYTMjHwbT7AyNMhr9TuWPTzUgq5DokxVFSfgIjfOoyeNzwBH3NP5YOc63V9hg==" saltValue="hAUEF0s+4T5j1pG20TX7x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133</v>
      </c>
      <c r="C3" s="90"/>
      <c r="D3" s="90"/>
      <c r="E3" s="90"/>
      <c r="F3" s="90"/>
      <c r="G3" s="1"/>
    </row>
    <row r="4" spans="1:7" ht="25.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107</v>
      </c>
      <c r="C8" s="98"/>
      <c r="D8" s="98"/>
      <c r="E8" s="98"/>
      <c r="F8" s="99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108</v>
      </c>
      <c r="C14" s="98"/>
      <c r="D14" s="98"/>
      <c r="E14" s="98"/>
      <c r="F14" s="99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169</v>
      </c>
      <c r="C20" s="98"/>
      <c r="D20" s="98"/>
      <c r="E20" s="98"/>
      <c r="F20" s="99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231</v>
      </c>
      <c r="C26" s="98"/>
      <c r="D26" s="98"/>
      <c r="E26" s="98"/>
      <c r="F26" s="99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6X7PZuqF1OsXJWr5TnR+hL1eZAzTUthNqGZMmDGiBqaLb4BKtUr7Ne6GNw5dPIOfchHRmNN5+Wb17Cmq0nUlEw==" saltValue="Sbw14LsADDW/t65IRBeqQ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0" t="s">
        <v>189</v>
      </c>
      <c r="C3" s="90"/>
      <c r="D3" s="1"/>
    </row>
    <row r="4" spans="1:4" ht="25.5" customHeight="1" x14ac:dyDescent="0.25">
      <c r="A4" s="1"/>
      <c r="B4" s="90"/>
      <c r="C4" s="9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3" t="s">
        <v>137</v>
      </c>
      <c r="C9" s="26">
        <v>1.2699999999999999E-2</v>
      </c>
      <c r="D9" s="1"/>
    </row>
    <row r="10" spans="1:4" x14ac:dyDescent="0.25">
      <c r="A10" s="1"/>
      <c r="B10" s="63" t="s">
        <v>138</v>
      </c>
      <c r="C10" s="26">
        <v>1.7500000000000002E-2</v>
      </c>
      <c r="D10" s="1"/>
    </row>
    <row r="11" spans="1:4" x14ac:dyDescent="0.25">
      <c r="A11" s="1"/>
      <c r="B11" s="63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3" t="s">
        <v>253</v>
      </c>
      <c r="C14" s="49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3" t="s">
        <v>139</v>
      </c>
      <c r="C19" s="23">
        <v>9.1000000000000004E-3</v>
      </c>
      <c r="D19" s="1"/>
    </row>
    <row r="20" spans="1:4" x14ac:dyDescent="0.25">
      <c r="A20" s="1"/>
      <c r="B20" s="63" t="s">
        <v>190</v>
      </c>
      <c r="C20" s="23">
        <v>1.77E-2</v>
      </c>
      <c r="D20" s="1"/>
    </row>
    <row r="21" spans="1:4" x14ac:dyDescent="0.25">
      <c r="A21" s="1"/>
      <c r="B21" s="63" t="s">
        <v>191</v>
      </c>
      <c r="C21" s="23">
        <v>8.6999999999999994E-3</v>
      </c>
      <c r="D21" s="1"/>
    </row>
    <row r="22" spans="1:4" x14ac:dyDescent="0.25">
      <c r="A22" s="1"/>
      <c r="B22" s="63" t="s">
        <v>140</v>
      </c>
      <c r="C22" s="41">
        <v>2.8400000000000002E-2</v>
      </c>
      <c r="D22" s="1"/>
    </row>
    <row r="23" spans="1:4" x14ac:dyDescent="0.25">
      <c r="A23" s="1"/>
      <c r="B23" s="63" t="s">
        <v>192</v>
      </c>
      <c r="C23" s="41">
        <v>2.75E-2</v>
      </c>
      <c r="D23" s="1"/>
    </row>
    <row r="24" spans="1:4" x14ac:dyDescent="0.25">
      <c r="A24" s="1"/>
      <c r="B24" s="63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3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eOj1WZcisNVWSsVOlsMHn6319mzAysbq+MCXR27H288I36fDh8d78SUQLKxQoWreIilnO4LhbopE0/yaSTZxBg==" saltValue="B8tqryblojUHG/becgO7R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194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51885982.274032868</v>
      </c>
      <c r="D9" s="8" t="s">
        <v>3</v>
      </c>
      <c r="E9" s="1"/>
    </row>
    <row r="10" spans="1:5" ht="17.100000000000001" customHeight="1" x14ac:dyDescent="0.25">
      <c r="A10" s="1"/>
      <c r="B10" s="51" t="s">
        <v>43</v>
      </c>
      <c r="C10" s="7">
        <f>'Fane 10.1. Varige tillæg'!C14</f>
        <v>300121.1422</v>
      </c>
      <c r="D10" s="8" t="s">
        <v>3</v>
      </c>
      <c r="E10" s="1"/>
    </row>
    <row r="11" spans="1:5" ht="17.100000000000001" customHeight="1" x14ac:dyDescent="0.25">
      <c r="A11" s="1"/>
      <c r="B11" s="51" t="s">
        <v>44</v>
      </c>
      <c r="C11" s="9">
        <f>'Fane 10.1. Varige tillæg'!E14</f>
        <v>1311874.9480000001</v>
      </c>
      <c r="D11" s="8" t="s">
        <v>3</v>
      </c>
      <c r="E11" s="1"/>
    </row>
    <row r="12" spans="1:5" ht="17.100000000000001" customHeight="1" x14ac:dyDescent="0.2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20</v>
      </c>
      <c r="C16" s="9">
        <f>SUM(C9:C15)*'Fane 14. Nøgletal'!C14</f>
        <v>176543.32860196847</v>
      </c>
      <c r="D16" s="8" t="s">
        <v>3</v>
      </c>
      <c r="E16" s="1"/>
    </row>
    <row r="17" spans="1:5" ht="17.100000000000001" customHeight="1" x14ac:dyDescent="0.25">
      <c r="A17" s="1"/>
      <c r="B17" s="51" t="s">
        <v>10</v>
      </c>
      <c r="C17" s="9">
        <f>-SUM(C9:C16)*'Fane 5. Individuelt eff. krav'!G12</f>
        <v>-994263.64316809678</v>
      </c>
      <c r="D17" s="8" t="s">
        <v>3</v>
      </c>
      <c r="E17" s="1"/>
    </row>
    <row r="18" spans="1:5" ht="17.100000000000001" customHeight="1" x14ac:dyDescent="0.25">
      <c r="A18" s="1"/>
      <c r="B18" s="51" t="s">
        <v>26</v>
      </c>
      <c r="C18" s="9">
        <f>-'Fane 4.1. Gen. krav - drift'!G38</f>
        <v>-326764.65973996959</v>
      </c>
      <c r="D18" s="8" t="s">
        <v>3</v>
      </c>
      <c r="E18" s="1"/>
    </row>
    <row r="19" spans="1:5" ht="17.100000000000001" customHeight="1" x14ac:dyDescent="0.25">
      <c r="A19" s="1"/>
      <c r="B19" s="51" t="s">
        <v>27</v>
      </c>
      <c r="C19" s="9">
        <f>-'Fane 4.2. Gen. krav - anlæg'!G37</f>
        <v>-615042.98510876507</v>
      </c>
      <c r="D19" s="8" t="s">
        <v>3</v>
      </c>
      <c r="E19" s="1"/>
    </row>
    <row r="20" spans="1:5" ht="17.100000000000001" customHeight="1" x14ac:dyDescent="0.25">
      <c r="A20" s="1"/>
      <c r="B20" s="57" t="s">
        <v>22</v>
      </c>
      <c r="C20" s="10">
        <f>SUM(C9:C19)</f>
        <v>51738450.404818006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33744314.882203005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7" t="s">
        <v>94</v>
      </c>
      <c r="C24" s="10">
        <f>'Fane 11. Periodevise driftsomk.'!E12</f>
        <v>109821.16132610566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286</v>
      </c>
      <c r="C29" s="32"/>
      <c r="D29" s="20"/>
      <c r="E29" s="1"/>
    </row>
    <row r="30" spans="1:5" x14ac:dyDescent="0.25">
      <c r="A30" s="1"/>
      <c r="B30" s="36" t="s">
        <v>286</v>
      </c>
      <c r="C30" s="10">
        <f>'Fane 7. Kontrol af ØR2020'!E34</f>
        <v>-4198859.4435743764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81393727.004772738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TTREFn2BLBuW0GBEltLPfXhmqBKqkRWZmeMpvCMTb9OuJYXt3D5SNFOo6VozXwzHyHPfxBgon8vxI6bltU99A==" saltValue="UMeZJOa9GlX0Qff3/GFjk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196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51738450.404818006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170736.88633589941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-961562.69384860678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drift'!G45</f>
        <v>-321286.12345476932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-607939.95208062162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50018398.521769904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33855671.12131428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driftsomk.'!E18</f>
        <v>110183.57115848182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286</v>
      </c>
      <c r="C25" s="32"/>
      <c r="D25" s="20"/>
      <c r="E25" s="1"/>
    </row>
    <row r="26" spans="1:5" ht="15" customHeight="1" x14ac:dyDescent="0.25">
      <c r="A26" s="1"/>
      <c r="B26" s="36" t="s">
        <v>286</v>
      </c>
      <c r="C26" s="10">
        <f>'Fane 7. Kontrol af ØR2020'!E34</f>
        <v>-4198859.4435743764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79785393.770668298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mINFl8EUsFwQuexlrF5cuUnlUPCNOBL6XLo7HQad7170mgEhoKjg4OQexbKHrQ4Bbn5wW9dBuahiG3BL3/7D1w==" saltValue="bTjswnnvXe0WF2/lh7nS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197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50018398.521769904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165060.71512184068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-929595.41014988429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-315899.44030892663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-600918.9508444349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48337045.435588494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33967394.836014621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driftsomk.'!E24</f>
        <v>110547.17694330482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82414987.44854641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lBo/QUJ+vilzsTwk8i/oSIjjE8wi8s740Z6pE8nKtUceMTnhXwzkSntXWnsEsKKE5hf+suRRJ4IFKPKimcGeg==" saltValue="R5FqmFmb2hYAMyWm2iQNQ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5" t="s">
        <v>198</v>
      </c>
      <c r="C3" s="85"/>
      <c r="D3" s="85"/>
      <c r="E3" s="1"/>
    </row>
    <row r="4" spans="1:5" ht="15" customHeight="1" x14ac:dyDescent="0.25">
      <c r="A4" s="1"/>
      <c r="B4" s="85"/>
      <c r="C4" s="85"/>
      <c r="D4" s="85"/>
      <c r="E4" s="1"/>
    </row>
    <row r="5" spans="1:5" x14ac:dyDescent="0.25">
      <c r="A5" s="1"/>
      <c r="B5" s="86" t="s">
        <v>23</v>
      </c>
      <c r="C5" s="86"/>
      <c r="D5" s="86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48337045.435588494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159512.24993744201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-898347.34627844079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-310603.07029270718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-593979.03402816458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46693628.234926626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34079487.238973469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7" t="s">
        <v>94</v>
      </c>
      <c r="C20" s="10">
        <f>'Fane 11. Periodevise driftsomk.'!E30</f>
        <v>110911.98262721773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80884027.456527308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YUBbaJrCp2wqk25PBsxMTDXr74ZpWzaNvCTzBzhEsHjWz2lJxQFEiF/5J1R/97Xi3BAZLmX9g5FTcO7AaUWbUQ==" saltValue="QUHc7JiZRobtXoIjNktD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250</v>
      </c>
      <c r="C3" s="90"/>
      <c r="D3" s="90"/>
      <c r="E3" s="90"/>
      <c r="F3" s="90"/>
      <c r="G3" s="1"/>
    </row>
    <row r="4" spans="1:7" ht="29.2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25">
      <c r="A9" s="1"/>
      <c r="B9" s="87" t="s">
        <v>25</v>
      </c>
      <c r="C9" s="88"/>
      <c r="D9" s="89"/>
      <c r="E9" s="7">
        <v>49375985.494624726</v>
      </c>
      <c r="F9" s="8" t="s">
        <v>3</v>
      </c>
      <c r="G9" s="1"/>
    </row>
    <row r="10" spans="1:7" ht="15" customHeight="1" x14ac:dyDescent="0.25">
      <c r="A10" s="1"/>
      <c r="B10" s="91" t="s">
        <v>43</v>
      </c>
      <c r="C10" s="92"/>
      <c r="D10" s="93"/>
      <c r="E10" s="7">
        <v>25324.231800000001</v>
      </c>
      <c r="F10" s="8" t="s">
        <v>3</v>
      </c>
      <c r="G10" s="1"/>
    </row>
    <row r="11" spans="1:7" ht="15" customHeight="1" x14ac:dyDescent="0.25">
      <c r="A11" s="1"/>
      <c r="B11" s="91" t="s">
        <v>44</v>
      </c>
      <c r="C11" s="92"/>
      <c r="D11" s="93"/>
      <c r="E11" s="9">
        <v>3433738.6943999999</v>
      </c>
      <c r="F11" s="8" t="s">
        <v>3</v>
      </c>
      <c r="G11" s="1"/>
    </row>
    <row r="12" spans="1:7" ht="15" customHeight="1" x14ac:dyDescent="0.25">
      <c r="A12" s="1"/>
      <c r="B12" s="91" t="s">
        <v>29</v>
      </c>
      <c r="C12" s="92"/>
      <c r="D12" s="93"/>
      <c r="E12" s="9">
        <v>0</v>
      </c>
      <c r="F12" s="8" t="s">
        <v>3</v>
      </c>
      <c r="G12" s="1"/>
    </row>
    <row r="13" spans="1:7" ht="15" customHeight="1" x14ac:dyDescent="0.25">
      <c r="A13" s="1"/>
      <c r="B13" s="87" t="s">
        <v>28</v>
      </c>
      <c r="C13" s="88"/>
      <c r="D13" s="89"/>
      <c r="E13" s="9">
        <v>0</v>
      </c>
      <c r="F13" s="8" t="s">
        <v>3</v>
      </c>
      <c r="G13" s="1"/>
    </row>
    <row r="14" spans="1:7" ht="15" customHeight="1" x14ac:dyDescent="0.25">
      <c r="A14" s="1"/>
      <c r="B14" s="87" t="s">
        <v>31</v>
      </c>
      <c r="C14" s="88"/>
      <c r="D14" s="89"/>
      <c r="E14" s="9">
        <v>0</v>
      </c>
      <c r="F14" s="8" t="s">
        <v>3</v>
      </c>
      <c r="G14" s="1"/>
    </row>
    <row r="15" spans="1:7" ht="15" customHeight="1" x14ac:dyDescent="0.25">
      <c r="A15" s="1"/>
      <c r="B15" s="87" t="s">
        <v>30</v>
      </c>
      <c r="C15" s="88"/>
      <c r="D15" s="89"/>
      <c r="E15" s="9">
        <v>0</v>
      </c>
      <c r="F15" s="8" t="s">
        <v>3</v>
      </c>
      <c r="G15" s="1"/>
    </row>
    <row r="16" spans="1:7" ht="15" customHeight="1" x14ac:dyDescent="0.25">
      <c r="A16" s="1"/>
      <c r="B16" s="87" t="s">
        <v>20</v>
      </c>
      <c r="C16" s="88"/>
      <c r="D16" s="89"/>
      <c r="E16" s="9">
        <v>1014907.4819437471</v>
      </c>
      <c r="F16" s="8" t="s">
        <v>3</v>
      </c>
      <c r="G16" s="1"/>
    </row>
    <row r="17" spans="1:7" ht="15" customHeight="1" x14ac:dyDescent="0.25">
      <c r="A17" s="1"/>
      <c r="B17" s="87" t="s">
        <v>10</v>
      </c>
      <c r="C17" s="88"/>
      <c r="D17" s="89"/>
      <c r="E17" s="9">
        <v>-468607.55373057857</v>
      </c>
      <c r="F17" s="8" t="s">
        <v>3</v>
      </c>
      <c r="G17" s="1"/>
    </row>
    <row r="18" spans="1:7" ht="15" customHeight="1" x14ac:dyDescent="0.25">
      <c r="A18" s="1"/>
      <c r="B18" s="87" t="s">
        <v>26</v>
      </c>
      <c r="C18" s="88"/>
      <c r="D18" s="89"/>
      <c r="E18" s="9">
        <f>-'Fane 4.1. Gen. krav - drift'!G32</f>
        <v>-326211.69416495401</v>
      </c>
      <c r="F18" s="8" t="s">
        <v>3</v>
      </c>
      <c r="G18" s="1"/>
    </row>
    <row r="19" spans="1:7" ht="15" customHeight="1" x14ac:dyDescent="0.25">
      <c r="A19" s="1"/>
      <c r="B19" s="87" t="s">
        <v>27</v>
      </c>
      <c r="C19" s="88"/>
      <c r="D19" s="89"/>
      <c r="E19" s="9">
        <f>-'Fane 4.2. Gen. krav - anlæg'!G31</f>
        <v>-1169154.3808400729</v>
      </c>
      <c r="F19" s="8" t="s">
        <v>3</v>
      </c>
      <c r="G19" s="1"/>
    </row>
    <row r="20" spans="1:7" ht="15" customHeight="1" x14ac:dyDescent="0.25">
      <c r="A20" s="1"/>
      <c r="B20" s="57" t="s">
        <v>22</v>
      </c>
      <c r="C20" s="58"/>
      <c r="D20" s="65"/>
      <c r="E20" s="10">
        <f>SUM(E9:E19)</f>
        <v>51885982.274032868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4" t="s">
        <v>13</v>
      </c>
      <c r="C22" s="95"/>
      <c r="D22" s="96"/>
      <c r="E22" s="10">
        <v>33861757.177926719</v>
      </c>
      <c r="F22" s="11" t="s">
        <v>3</v>
      </c>
      <c r="G22" s="1"/>
    </row>
    <row r="23" spans="1:7" ht="15" customHeight="1" x14ac:dyDescent="0.25">
      <c r="A23" s="1"/>
      <c r="B23" s="97" t="s">
        <v>94</v>
      </c>
      <c r="C23" s="98"/>
      <c r="D23" s="99"/>
      <c r="E23" s="32"/>
      <c r="F23" s="32"/>
      <c r="G23" s="1"/>
    </row>
    <row r="24" spans="1:7" ht="15" customHeight="1" x14ac:dyDescent="0.25">
      <c r="A24" s="1"/>
      <c r="B24" s="57" t="s">
        <v>94</v>
      </c>
      <c r="C24" s="42"/>
      <c r="D24" s="43"/>
      <c r="E24" s="10">
        <v>357537.46274939633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1" t="s">
        <v>89</v>
      </c>
      <c r="C26" s="92"/>
      <c r="D26" s="93"/>
      <c r="E26" s="9">
        <v>0</v>
      </c>
      <c r="F26" s="8" t="s">
        <v>3</v>
      </c>
      <c r="G26" s="1"/>
    </row>
    <row r="27" spans="1:7" ht="15" customHeight="1" x14ac:dyDescent="0.25">
      <c r="A27" s="1"/>
      <c r="B27" s="91" t="s">
        <v>90</v>
      </c>
      <c r="C27" s="92"/>
      <c r="D27" s="92"/>
      <c r="E27" s="9">
        <v>0</v>
      </c>
      <c r="F27" s="8" t="s">
        <v>3</v>
      </c>
      <c r="G27" s="1"/>
    </row>
    <row r="28" spans="1:7" ht="15" customHeight="1" x14ac:dyDescent="0.25">
      <c r="A28" s="1"/>
      <c r="B28" s="100" t="s">
        <v>95</v>
      </c>
      <c r="C28" s="101"/>
      <c r="D28" s="101"/>
      <c r="E28" s="44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4" t="s">
        <v>185</v>
      </c>
      <c r="C30" s="95"/>
      <c r="D30" s="95"/>
      <c r="E30" s="44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4" t="s">
        <v>148</v>
      </c>
      <c r="C32" s="95"/>
      <c r="D32" s="96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86105276.914708987</v>
      </c>
      <c r="F33" s="13" t="s">
        <v>3</v>
      </c>
      <c r="G33" s="1"/>
    </row>
    <row r="34" spans="1:7" ht="27" customHeight="1" x14ac:dyDescent="0.25">
      <c r="A34" s="1"/>
      <c r="B34" s="87" t="s">
        <v>252</v>
      </c>
      <c r="C34" s="88"/>
      <c r="D34" s="88"/>
      <c r="E34" s="88"/>
      <c r="F34" s="8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joHpul6waYhiKJ2eg8kWXcRGRyaaCsQG616bSIb+6+lOMkBR2HsnRXlrIdvREY3gyDnHuXMAwvCJSswLD/TaQ==" saltValue="NkVlmGlzd46z9uHFV+s04g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0" t="s">
        <v>130</v>
      </c>
      <c r="C1" s="90"/>
      <c r="D1" s="90"/>
      <c r="E1" s="90"/>
      <c r="F1" s="90"/>
      <c r="G1" s="90"/>
      <c r="H1" s="90"/>
      <c r="I1" s="1"/>
    </row>
    <row r="2" spans="1:9" ht="28.5" customHeight="1" x14ac:dyDescent="0.25">
      <c r="A2" s="1"/>
      <c r="B2" s="90"/>
      <c r="C2" s="90"/>
      <c r="D2" s="90"/>
      <c r="E2" s="90"/>
      <c r="F2" s="90"/>
      <c r="G2" s="90"/>
      <c r="H2" s="90"/>
      <c r="I2" s="1"/>
    </row>
    <row r="3" spans="1:9" x14ac:dyDescent="0.25">
      <c r="A3" s="1"/>
      <c r="B3" s="97" t="s">
        <v>56</v>
      </c>
      <c r="C3" s="98"/>
      <c r="D3" s="98"/>
      <c r="E3" s="98"/>
      <c r="F3" s="98"/>
      <c r="G3" s="98"/>
      <c r="H3" s="99"/>
      <c r="I3" s="1"/>
    </row>
    <row r="4" spans="1:9" x14ac:dyDescent="0.25">
      <c r="A4" s="1"/>
      <c r="B4" s="102" t="s">
        <v>45</v>
      </c>
      <c r="C4" s="103"/>
      <c r="D4" s="103"/>
      <c r="E4" s="103"/>
      <c r="F4" s="104"/>
      <c r="G4" s="24">
        <v>16341627</v>
      </c>
      <c r="H4" s="14" t="s">
        <v>3</v>
      </c>
      <c r="I4" s="1"/>
    </row>
    <row r="5" spans="1:9" x14ac:dyDescent="0.25">
      <c r="A5" s="1"/>
      <c r="B5" s="87" t="s">
        <v>145</v>
      </c>
      <c r="C5" s="88"/>
      <c r="D5" s="88"/>
      <c r="E5" s="88"/>
      <c r="F5" s="89"/>
      <c r="G5" s="24">
        <v>341207</v>
      </c>
      <c r="H5" s="14" t="s">
        <v>3</v>
      </c>
      <c r="I5" s="1"/>
    </row>
    <row r="6" spans="1:9" x14ac:dyDescent="0.25">
      <c r="A6" s="1"/>
      <c r="B6" s="102" t="s">
        <v>46</v>
      </c>
      <c r="C6" s="103"/>
      <c r="D6" s="103"/>
      <c r="E6" s="103"/>
      <c r="F6" s="104"/>
      <c r="G6" s="24">
        <f>SUM(G4:G5)*'Fane 14. Nøgletal'!C29</f>
        <v>333656.68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57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2" t="s">
        <v>47</v>
      </c>
      <c r="C10" s="103"/>
      <c r="D10" s="103"/>
      <c r="E10" s="103"/>
      <c r="F10" s="104"/>
      <c r="G10" s="24">
        <f>(G4-G6)*(1+'Fane 14. Nøgletal'!C10)</f>
        <v>16288109.800600002</v>
      </c>
      <c r="H10" s="14" t="s">
        <v>3</v>
      </c>
      <c r="I10" s="1"/>
    </row>
    <row r="11" spans="1:9" ht="15" customHeight="1" x14ac:dyDescent="0.25">
      <c r="A11" s="1"/>
      <c r="B11" s="102" t="s">
        <v>146</v>
      </c>
      <c r="C11" s="103"/>
      <c r="D11" s="103"/>
      <c r="E11" s="103"/>
      <c r="F11" s="104"/>
      <c r="G11" s="24">
        <v>0.64208514772355563</v>
      </c>
      <c r="H11" s="14" t="s">
        <v>3</v>
      </c>
      <c r="I11" s="1"/>
    </row>
    <row r="12" spans="1:9" x14ac:dyDescent="0.25">
      <c r="A12" s="1"/>
      <c r="B12" s="87" t="s">
        <v>143</v>
      </c>
      <c r="C12" s="88"/>
      <c r="D12" s="88"/>
      <c r="E12" s="88"/>
      <c r="F12" s="89"/>
      <c r="G12" s="24">
        <v>347178.1225</v>
      </c>
      <c r="H12" s="14" t="s">
        <v>3</v>
      </c>
      <c r="I12" s="1"/>
    </row>
    <row r="13" spans="1:9" x14ac:dyDescent="0.25">
      <c r="A13" s="1"/>
      <c r="B13" s="108" t="s">
        <v>48</v>
      </c>
      <c r="C13" s="109"/>
      <c r="D13" s="109"/>
      <c r="E13" s="109"/>
      <c r="F13" s="110"/>
      <c r="G13" s="9">
        <v>0</v>
      </c>
      <c r="H13" s="14" t="s">
        <v>3</v>
      </c>
      <c r="I13" s="1"/>
    </row>
    <row r="14" spans="1:9" x14ac:dyDescent="0.25">
      <c r="A14" s="1"/>
      <c r="B14" s="102" t="s">
        <v>49</v>
      </c>
      <c r="C14" s="103"/>
      <c r="D14" s="103"/>
      <c r="E14" s="103"/>
      <c r="F14" s="104"/>
      <c r="G14" s="24">
        <f>SUM(G10:G13)*'Fane 14. Nøgletal'!C29</f>
        <v>332705.77130370302</v>
      </c>
      <c r="H14" s="14" t="s">
        <v>3</v>
      </c>
      <c r="I14" s="1"/>
    </row>
    <row r="15" spans="1:9" x14ac:dyDescent="0.2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7" t="s">
        <v>58</v>
      </c>
      <c r="C17" s="98"/>
      <c r="D17" s="98"/>
      <c r="E17" s="98"/>
      <c r="F17" s="98"/>
      <c r="G17" s="98"/>
      <c r="H17" s="99"/>
      <c r="I17" s="1"/>
    </row>
    <row r="18" spans="1:9" x14ac:dyDescent="0.25">
      <c r="A18" s="1"/>
      <c r="B18" s="102" t="s">
        <v>50</v>
      </c>
      <c r="C18" s="103"/>
      <c r="D18" s="103"/>
      <c r="E18" s="103"/>
      <c r="F18" s="104"/>
      <c r="G18" s="24">
        <f>(SUM(G10:G11,G13)-(G14))*(1+'Fane 14. Nøgletal'!C10)</f>
        <v>16234624.253130624</v>
      </c>
      <c r="H18" s="14" t="s">
        <v>3</v>
      </c>
      <c r="I18" s="1"/>
    </row>
    <row r="19" spans="1:9" x14ac:dyDescent="0.25">
      <c r="A19" s="1"/>
      <c r="B19" s="108" t="s">
        <v>51</v>
      </c>
      <c r="C19" s="109"/>
      <c r="D19" s="109"/>
      <c r="E19" s="109"/>
      <c r="F19" s="110"/>
      <c r="G19" s="9">
        <v>0</v>
      </c>
      <c r="H19" s="14" t="s">
        <v>3</v>
      </c>
      <c r="I19" s="1"/>
    </row>
    <row r="20" spans="1:9" x14ac:dyDescent="0.25">
      <c r="A20" s="1"/>
      <c r="B20" s="102" t="s">
        <v>52</v>
      </c>
      <c r="C20" s="103"/>
      <c r="D20" s="103"/>
      <c r="E20" s="103"/>
      <c r="F20" s="104"/>
      <c r="G20" s="24">
        <f>SUM(G18:G19)*'Fane 14. Nøgletal'!C29</f>
        <v>324692.48506261251</v>
      </c>
      <c r="H20" s="14" t="s">
        <v>3</v>
      </c>
      <c r="I20" s="1"/>
    </row>
    <row r="21" spans="1:9" x14ac:dyDescent="0.2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7" t="s">
        <v>59</v>
      </c>
      <c r="C23" s="98"/>
      <c r="D23" s="98"/>
      <c r="E23" s="98"/>
      <c r="F23" s="98"/>
      <c r="G23" s="98"/>
      <c r="H23" s="99"/>
      <c r="I23" s="1"/>
    </row>
    <row r="24" spans="1:9" x14ac:dyDescent="0.25">
      <c r="A24" s="1"/>
      <c r="B24" s="102" t="s">
        <v>53</v>
      </c>
      <c r="C24" s="103"/>
      <c r="D24" s="103"/>
      <c r="E24" s="103"/>
      <c r="F24" s="104"/>
      <c r="G24" s="24">
        <f>(G18+G19-G20)*(1+'Fane 14. Nøgletal'!C12)</f>
        <v>16223357.423898952</v>
      </c>
      <c r="H24" s="14" t="s">
        <v>3</v>
      </c>
      <c r="I24" s="1"/>
    </row>
    <row r="25" spans="1:9" x14ac:dyDescent="0.25">
      <c r="A25" s="1"/>
      <c r="B25" s="108" t="s">
        <v>54</v>
      </c>
      <c r="C25" s="109"/>
      <c r="D25" s="109"/>
      <c r="E25" s="109"/>
      <c r="F25" s="110"/>
      <c r="G25" s="24">
        <v>72903.702142260008</v>
      </c>
      <c r="H25" s="14" t="s">
        <v>3</v>
      </c>
      <c r="I25" s="1"/>
    </row>
    <row r="26" spans="1:9" x14ac:dyDescent="0.25">
      <c r="A26" s="1"/>
      <c r="B26" s="102" t="s">
        <v>55</v>
      </c>
      <c r="C26" s="103"/>
      <c r="D26" s="103"/>
      <c r="E26" s="103"/>
      <c r="F26" s="104"/>
      <c r="G26" s="24">
        <f>(G24+G25)*'Fane 14. Nøgletal'!C29</f>
        <v>325925.22252082423</v>
      </c>
      <c r="H26" s="14" t="s">
        <v>3</v>
      </c>
      <c r="I26" s="1"/>
    </row>
    <row r="27" spans="1:9" x14ac:dyDescent="0.2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7" t="s">
        <v>62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2" t="s">
        <v>63</v>
      </c>
      <c r="C30" s="103"/>
      <c r="D30" s="103"/>
      <c r="E30" s="103"/>
      <c r="F30" s="104"/>
      <c r="G30" s="24">
        <f>(G24+G25-G26)*(1+'Fane 14. Nøgletal'!C12)</f>
        <v>16284951.520819739</v>
      </c>
      <c r="H30" s="14" t="s">
        <v>3</v>
      </c>
      <c r="I30" s="1"/>
    </row>
    <row r="31" spans="1:9" x14ac:dyDescent="0.25">
      <c r="A31" s="1"/>
      <c r="B31" s="102" t="s">
        <v>171</v>
      </c>
      <c r="C31" s="103"/>
      <c r="D31" s="103"/>
      <c r="E31" s="103"/>
      <c r="F31" s="104"/>
      <c r="G31" s="24">
        <v>25633.187427960002</v>
      </c>
      <c r="H31" s="14" t="s">
        <v>3</v>
      </c>
      <c r="I31" s="1"/>
    </row>
    <row r="32" spans="1:9" x14ac:dyDescent="0.25">
      <c r="A32" s="1"/>
      <c r="B32" s="102" t="s">
        <v>64</v>
      </c>
      <c r="C32" s="103"/>
      <c r="D32" s="103"/>
      <c r="E32" s="103"/>
      <c r="F32" s="104"/>
      <c r="G32" s="24">
        <f>(G30+G31)*'Fane 14. Nøgletal'!C29</f>
        <v>326211.69416495401</v>
      </c>
      <c r="H32" s="14" t="s">
        <v>3</v>
      </c>
      <c r="I32" s="1"/>
    </row>
    <row r="33" spans="1:9" x14ac:dyDescent="0.2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7" t="s">
        <v>232</v>
      </c>
      <c r="C35" s="98"/>
      <c r="D35" s="98"/>
      <c r="E35" s="98"/>
      <c r="F35" s="98"/>
      <c r="G35" s="98"/>
      <c r="H35" s="99"/>
      <c r="I35" s="1"/>
    </row>
    <row r="36" spans="1:9" x14ac:dyDescent="0.25">
      <c r="A36" s="1"/>
      <c r="B36" s="102" t="s">
        <v>84</v>
      </c>
      <c r="C36" s="103"/>
      <c r="D36" s="103"/>
      <c r="E36" s="103"/>
      <c r="F36" s="104"/>
      <c r="G36" s="24">
        <f>(G30+G31-G32)*(1+'Fane 14. Nøgletal'!C14)</f>
        <v>16037121.44502922</v>
      </c>
      <c r="H36" s="14" t="s">
        <v>3</v>
      </c>
      <c r="I36" s="1"/>
    </row>
    <row r="37" spans="1:9" x14ac:dyDescent="0.25">
      <c r="A37" s="1"/>
      <c r="B37" s="102" t="s">
        <v>236</v>
      </c>
      <c r="C37" s="103"/>
      <c r="D37" s="103"/>
      <c r="E37" s="103"/>
      <c r="F37" s="104"/>
      <c r="G37" s="24">
        <f>SUM('Fane 2.1. Økonomisk ramme 2022'!C10,'Fane 2.1. Økonomisk ramme 2022'!C12,'Fane 2.1. Økonomisk ramme 2022'!C14)*(1+'Fane 14. Nøgletal'!C14)</f>
        <v>301111.54196926003</v>
      </c>
      <c r="H37" s="14" t="s">
        <v>3</v>
      </c>
      <c r="I37" s="1"/>
    </row>
    <row r="38" spans="1:9" x14ac:dyDescent="0.25">
      <c r="A38" s="1"/>
      <c r="B38" s="102" t="s">
        <v>234</v>
      </c>
      <c r="C38" s="103"/>
      <c r="D38" s="103"/>
      <c r="E38" s="103"/>
      <c r="F38" s="104"/>
      <c r="G38" s="24">
        <f>(G36+G37)*'Fane 14. Nøgletal'!C29</f>
        <v>326764.65973996959</v>
      </c>
      <c r="H38" s="14" t="s">
        <v>3</v>
      </c>
      <c r="I38" s="1"/>
    </row>
    <row r="39" spans="1:9" x14ac:dyDescent="0.2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7" t="s">
        <v>233</v>
      </c>
      <c r="C41" s="98"/>
      <c r="D41" s="98"/>
      <c r="E41" s="98"/>
      <c r="F41" s="98"/>
      <c r="G41" s="98"/>
      <c r="H41" s="99"/>
      <c r="I41" s="1"/>
    </row>
    <row r="42" spans="1:9" x14ac:dyDescent="0.25">
      <c r="A42" s="1"/>
      <c r="B42" s="102" t="s">
        <v>83</v>
      </c>
      <c r="C42" s="103"/>
      <c r="D42" s="103"/>
      <c r="E42" s="103"/>
      <c r="F42" s="104"/>
      <c r="G42" s="24">
        <f>(G36+G37-G38)*(1+'Fane 14. Nøgletal'!C14)</f>
        <v>16064306.172738465</v>
      </c>
      <c r="H42" s="14" t="s">
        <v>3</v>
      </c>
      <c r="I42" s="1"/>
    </row>
    <row r="43" spans="1:9" x14ac:dyDescent="0.25">
      <c r="A43" s="1"/>
      <c r="B43" s="105" t="s">
        <v>237</v>
      </c>
      <c r="C43" s="106"/>
      <c r="D43" s="106"/>
      <c r="E43" s="106"/>
      <c r="F43" s="107"/>
      <c r="G43" s="24">
        <f>G37*(1+'Fane 14. Nøgletal'!C14)</f>
        <v>302105.21005775861</v>
      </c>
      <c r="H43" s="14" t="s">
        <v>3</v>
      </c>
      <c r="I43" s="1"/>
    </row>
    <row r="44" spans="1:9" x14ac:dyDescent="0.25">
      <c r="A44" s="1"/>
      <c r="B44" s="102" t="s">
        <v>97</v>
      </c>
      <c r="C44" s="103"/>
      <c r="D44" s="103"/>
      <c r="E44" s="103"/>
      <c r="F44" s="104"/>
      <c r="G44" s="9">
        <f>-'Fane 13. Bortfald'!C18*(1+'Fane 14. Nøgletal'!C14)</f>
        <v>0</v>
      </c>
      <c r="H44" s="14" t="s">
        <v>3</v>
      </c>
      <c r="I44" s="1"/>
    </row>
    <row r="45" spans="1:9" x14ac:dyDescent="0.25">
      <c r="A45" s="1"/>
      <c r="B45" s="102" t="s">
        <v>235</v>
      </c>
      <c r="C45" s="103"/>
      <c r="D45" s="103"/>
      <c r="E45" s="103"/>
      <c r="F45" s="104"/>
      <c r="G45" s="24">
        <f>(G42+G44)*'Fane 14. Nøgletal'!C29</f>
        <v>321286.12345476932</v>
      </c>
      <c r="H45" s="14" t="s">
        <v>3</v>
      </c>
      <c r="I45" s="1"/>
    </row>
    <row r="46" spans="1:9" x14ac:dyDescent="0.2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7" t="s">
        <v>172</v>
      </c>
      <c r="C51" s="98"/>
      <c r="D51" s="98"/>
      <c r="E51" s="98"/>
      <c r="F51" s="98"/>
      <c r="G51" s="98"/>
      <c r="H51" s="99"/>
      <c r="I51" s="1"/>
    </row>
    <row r="52" spans="1:9" x14ac:dyDescent="0.25">
      <c r="A52" s="1"/>
      <c r="B52" s="102" t="s">
        <v>173</v>
      </c>
      <c r="C52" s="103"/>
      <c r="D52" s="103"/>
      <c r="E52" s="103"/>
      <c r="F52" s="104"/>
      <c r="G52" s="24">
        <f>(G42+G44-G45)*(1+'Fane 14. Nøgletal'!C14)</f>
        <v>15794972.015446331</v>
      </c>
      <c r="H52" s="14" t="s">
        <v>3</v>
      </c>
      <c r="I52" s="1"/>
    </row>
    <row r="53" spans="1:9" x14ac:dyDescent="0.25">
      <c r="A53" s="1"/>
      <c r="B53" s="102" t="s">
        <v>174</v>
      </c>
      <c r="C53" s="103"/>
      <c r="D53" s="103"/>
      <c r="E53" s="103"/>
      <c r="F53" s="104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2" t="s">
        <v>175</v>
      </c>
      <c r="C54" s="103"/>
      <c r="D54" s="103"/>
      <c r="E54" s="103"/>
      <c r="F54" s="104"/>
      <c r="G54" s="24">
        <f>(G52+G53)*'Fane 14. Nøgletal'!C29</f>
        <v>315899.44030892663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7" t="s">
        <v>201</v>
      </c>
      <c r="C57" s="98"/>
      <c r="D57" s="98"/>
      <c r="E57" s="98"/>
      <c r="F57" s="98"/>
      <c r="G57" s="98"/>
      <c r="H57" s="99"/>
      <c r="I57" s="1"/>
    </row>
    <row r="58" spans="1:9" x14ac:dyDescent="0.25">
      <c r="A58" s="1"/>
      <c r="B58" s="60" t="s">
        <v>202</v>
      </c>
      <c r="C58" s="61"/>
      <c r="D58" s="61"/>
      <c r="E58" s="61"/>
      <c r="F58" s="62"/>
      <c r="G58" s="24">
        <f>(G52+G53-G54)*(1+'Fane 14. Nøgletal'!C14)</f>
        <v>15530153.51463536</v>
      </c>
      <c r="H58" s="14" t="s">
        <v>3</v>
      </c>
      <c r="I58" s="1"/>
    </row>
    <row r="59" spans="1:9" x14ac:dyDescent="0.25">
      <c r="A59" s="1"/>
      <c r="B59" s="60" t="s">
        <v>203</v>
      </c>
      <c r="C59" s="61"/>
      <c r="D59" s="61"/>
      <c r="E59" s="61"/>
      <c r="F59" s="62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0" t="s">
        <v>204</v>
      </c>
      <c r="C60" s="61"/>
      <c r="D60" s="61"/>
      <c r="E60" s="61"/>
      <c r="F60" s="62"/>
      <c r="G60" s="24">
        <f>(G58+G59)*'Fane 14. Nøgletal'!C29</f>
        <v>310603.07029270718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3sKi3gxGMzMfD22riCk7+gzR4wh823lFRwLsZpTsUixNeg3wGhtDoyGTjitpAWRdYlMlRxAnjsvior2WxBXsIg==" saltValue="LQN1QPQFxr9Pc62714SZ6g==" spinCount="100000" sheet="1" objects="1" scenarios="1"/>
  <mergeCells count="37">
    <mergeCell ref="B10:F10"/>
    <mergeCell ref="B9:H9"/>
    <mergeCell ref="B5:F5"/>
    <mergeCell ref="B1:H2"/>
    <mergeCell ref="B23:H23"/>
    <mergeCell ref="B3:H3"/>
    <mergeCell ref="B4:F4"/>
    <mergeCell ref="B6:F6"/>
    <mergeCell ref="B11:F11"/>
    <mergeCell ref="B12:F12"/>
    <mergeCell ref="B29:H29"/>
    <mergeCell ref="B30:F30"/>
    <mergeCell ref="B35:H35"/>
    <mergeCell ref="B17:H17"/>
    <mergeCell ref="B13:F13"/>
    <mergeCell ref="B14:F14"/>
    <mergeCell ref="B18:F18"/>
    <mergeCell ref="B19:F19"/>
    <mergeCell ref="B20:F20"/>
    <mergeCell ref="B24:F24"/>
    <mergeCell ref="B25:F25"/>
    <mergeCell ref="B26:F26"/>
    <mergeCell ref="B57:H57"/>
    <mergeCell ref="B51:H51"/>
    <mergeCell ref="B52:F52"/>
    <mergeCell ref="B53:F53"/>
    <mergeCell ref="B31:F31"/>
    <mergeCell ref="B32:F32"/>
    <mergeCell ref="B41:H41"/>
    <mergeCell ref="B42:F42"/>
    <mergeCell ref="B45:F45"/>
    <mergeCell ref="B37:F37"/>
    <mergeCell ref="B44:F44"/>
    <mergeCell ref="B38:F38"/>
    <mergeCell ref="B43:F43"/>
    <mergeCell ref="B54:F54"/>
    <mergeCell ref="B36:F3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1" t="s">
        <v>131</v>
      </c>
      <c r="C1" s="111"/>
      <c r="D1" s="111"/>
      <c r="E1" s="111"/>
      <c r="F1" s="111"/>
      <c r="G1" s="111"/>
      <c r="H1" s="111"/>
      <c r="I1" s="1"/>
    </row>
    <row r="2" spans="1:9" ht="15" customHeight="1" x14ac:dyDescent="0.25">
      <c r="A2" s="1"/>
      <c r="B2" s="111"/>
      <c r="C2" s="111"/>
      <c r="D2" s="111"/>
      <c r="E2" s="111"/>
      <c r="F2" s="111"/>
      <c r="G2" s="111"/>
      <c r="H2" s="111"/>
      <c r="I2" s="1"/>
    </row>
    <row r="3" spans="1:9" ht="15" customHeight="1" x14ac:dyDescent="0.25">
      <c r="A3" s="1"/>
      <c r="B3" s="112"/>
      <c r="C3" s="112"/>
      <c r="D3" s="112"/>
      <c r="E3" s="112"/>
      <c r="F3" s="112"/>
      <c r="G3" s="112"/>
      <c r="H3" s="112"/>
      <c r="I3" s="1"/>
    </row>
    <row r="4" spans="1:9" x14ac:dyDescent="0.25">
      <c r="A4" s="1"/>
      <c r="B4" s="97" t="s">
        <v>60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2" t="s">
        <v>65</v>
      </c>
      <c r="C5" s="103"/>
      <c r="D5" s="103"/>
      <c r="E5" s="103"/>
      <c r="F5" s="104"/>
      <c r="G5" s="24">
        <v>36651127</v>
      </c>
      <c r="H5" s="14" t="s">
        <v>3</v>
      </c>
      <c r="I5" s="1"/>
    </row>
    <row r="6" spans="1:9" x14ac:dyDescent="0.25">
      <c r="A6" s="1"/>
      <c r="B6" s="102" t="s">
        <v>61</v>
      </c>
      <c r="C6" s="103"/>
      <c r="D6" s="103"/>
      <c r="E6" s="103"/>
      <c r="F6" s="104"/>
      <c r="G6" s="24">
        <f>G5*'Fane 14. Nøgletal'!C19</f>
        <v>333525.25570000004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66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4"/>
      <c r="G10" s="24">
        <f>(G5-G6)*(1+'Fane 14. Nøgletal'!C10)</f>
        <v>36953159.774825253</v>
      </c>
      <c r="H10" s="14" t="s">
        <v>3</v>
      </c>
      <c r="I10" s="1"/>
    </row>
    <row r="11" spans="1:9" x14ac:dyDescent="0.25">
      <c r="A11" s="1"/>
      <c r="B11" s="102" t="s">
        <v>147</v>
      </c>
      <c r="C11" s="103"/>
      <c r="D11" s="103"/>
      <c r="E11" s="103"/>
      <c r="F11" s="104"/>
      <c r="G11" s="24">
        <v>-737756.4879159698</v>
      </c>
      <c r="H11" s="14" t="s">
        <v>3</v>
      </c>
      <c r="I11" s="1"/>
    </row>
    <row r="12" spans="1:9" x14ac:dyDescent="0.25">
      <c r="A12" s="1"/>
      <c r="B12" s="108" t="s">
        <v>68</v>
      </c>
      <c r="C12" s="109"/>
      <c r="D12" s="109"/>
      <c r="E12" s="109"/>
      <c r="F12" s="110"/>
      <c r="G12" s="9">
        <v>0</v>
      </c>
      <c r="H12" s="14" t="s">
        <v>3</v>
      </c>
      <c r="I12" s="1"/>
    </row>
    <row r="13" spans="1:9" x14ac:dyDescent="0.25">
      <c r="A13" s="1"/>
      <c r="B13" s="102" t="s">
        <v>69</v>
      </c>
      <c r="C13" s="103"/>
      <c r="D13" s="103"/>
      <c r="E13" s="103"/>
      <c r="F13" s="104"/>
      <c r="G13" s="24">
        <f>SUM(G10:G12)*'Fane 14. Nøgletal'!C20</f>
        <v>641012.63817829429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7" t="s">
        <v>70</v>
      </c>
      <c r="C16" s="98"/>
      <c r="D16" s="98"/>
      <c r="E16" s="98"/>
      <c r="F16" s="98"/>
      <c r="G16" s="98"/>
      <c r="H16" s="99"/>
      <c r="I16" s="1"/>
    </row>
    <row r="17" spans="1:9" x14ac:dyDescent="0.25">
      <c r="A17" s="1"/>
      <c r="B17" s="102" t="s">
        <v>71</v>
      </c>
      <c r="C17" s="103"/>
      <c r="D17" s="103"/>
      <c r="E17" s="103"/>
      <c r="F17" s="104"/>
      <c r="G17" s="24">
        <f>(SUM(G10:G12)-G13)*(1+'Fane 14. Nøgletal'!C10)</f>
        <v>36196942.485083781</v>
      </c>
      <c r="H17" s="14" t="s">
        <v>3</v>
      </c>
      <c r="I17" s="1"/>
    </row>
    <row r="18" spans="1:9" x14ac:dyDescent="0.25">
      <c r="A18" s="1"/>
      <c r="B18" s="108" t="s">
        <v>72</v>
      </c>
      <c r="C18" s="109"/>
      <c r="D18" s="109"/>
      <c r="E18" s="109"/>
      <c r="F18" s="110"/>
      <c r="G18" s="24">
        <v>564660.1275417814</v>
      </c>
      <c r="H18" s="14" t="s">
        <v>3</v>
      </c>
      <c r="I18" s="1"/>
    </row>
    <row r="19" spans="1:9" x14ac:dyDescent="0.25">
      <c r="A19" s="1"/>
      <c r="B19" s="102" t="s">
        <v>73</v>
      </c>
      <c r="C19" s="103"/>
      <c r="D19" s="103"/>
      <c r="E19" s="103"/>
      <c r="F19" s="104"/>
      <c r="G19" s="24">
        <f>G17*'Fane 14. Nøgletal'!C20+G18*'Fane 14. Nøgletal'!C21</f>
        <v>645598.42509559647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74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2" t="s">
        <v>75</v>
      </c>
      <c r="C23" s="103"/>
      <c r="D23" s="103"/>
      <c r="E23" s="103"/>
      <c r="F23" s="104"/>
      <c r="G23" s="24">
        <f>(G17+G18-G19)*(1+'Fane 14. Nøgletal'!C12)</f>
        <v>36827489.47002431</v>
      </c>
      <c r="H23" s="14" t="s">
        <v>3</v>
      </c>
      <c r="I23" s="1"/>
    </row>
    <row r="24" spans="1:9" x14ac:dyDescent="0.25">
      <c r="A24" s="1"/>
      <c r="B24" s="108" t="s">
        <v>76</v>
      </c>
      <c r="C24" s="109"/>
      <c r="D24" s="109"/>
      <c r="E24" s="109"/>
      <c r="F24" s="110"/>
      <c r="G24" s="24">
        <v>1327728.6929763351</v>
      </c>
      <c r="H24" s="14" t="s">
        <v>3</v>
      </c>
      <c r="I24" s="1"/>
    </row>
    <row r="25" spans="1:9" x14ac:dyDescent="0.25">
      <c r="A25" s="1"/>
      <c r="B25" s="102" t="s">
        <v>77</v>
      </c>
      <c r="C25" s="103"/>
      <c r="D25" s="103"/>
      <c r="E25" s="103"/>
      <c r="F25" s="104"/>
      <c r="G25" s="24">
        <f>(G23+G24)*'Fane 14. Nøgletal'!C22</f>
        <v>1083608.1958292183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78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2" t="s">
        <v>79</v>
      </c>
      <c r="C29" s="103"/>
      <c r="D29" s="103"/>
      <c r="E29" s="103"/>
      <c r="F29" s="104"/>
      <c r="G29" s="24">
        <f>(G23+G24-G25)*(1+'Fane 14. Nøgletal'!C12)</f>
        <v>37801920.683524705</v>
      </c>
      <c r="H29" s="14" t="s">
        <v>3</v>
      </c>
      <c r="I29" s="1"/>
    </row>
    <row r="30" spans="1:9" x14ac:dyDescent="0.25">
      <c r="A30" s="1"/>
      <c r="B30" s="102" t="s">
        <v>176</v>
      </c>
      <c r="C30" s="103"/>
      <c r="D30" s="103"/>
      <c r="E30" s="103"/>
      <c r="F30" s="104"/>
      <c r="G30" s="24">
        <v>3475630.3064716798</v>
      </c>
      <c r="H30" s="14" t="s">
        <v>3</v>
      </c>
      <c r="I30" s="1"/>
    </row>
    <row r="31" spans="1:9" x14ac:dyDescent="0.25">
      <c r="A31" s="1"/>
      <c r="B31" s="102" t="s">
        <v>80</v>
      </c>
      <c r="C31" s="103"/>
      <c r="D31" s="103"/>
      <c r="E31" s="103"/>
      <c r="F31" s="104"/>
      <c r="G31" s="24">
        <f>G29*'Fane 14. Nøgletal'!C22+G30*'Fane 14. Nøgletal'!C23</f>
        <v>1169154.3808400729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238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2" t="s">
        <v>82</v>
      </c>
      <c r="C35" s="103"/>
      <c r="D35" s="103"/>
      <c r="E35" s="103"/>
      <c r="F35" s="104"/>
      <c r="G35" s="24">
        <f>(G29+G30-G31)*(1+'Fane 14. Nøgletal'!C14)</f>
        <v>40240754.317966536</v>
      </c>
      <c r="H35" s="14" t="s">
        <v>3</v>
      </c>
      <c r="I35" s="1"/>
    </row>
    <row r="36" spans="1:9" x14ac:dyDescent="0.25">
      <c r="A36" s="1"/>
      <c r="B36" s="102" t="s">
        <v>240</v>
      </c>
      <c r="C36" s="103"/>
      <c r="D36" s="103"/>
      <c r="E36" s="103"/>
      <c r="F36" s="104"/>
      <c r="G36" s="24">
        <f>SUM('Fane 2.1. Økonomisk ramme 2022'!C11,'Fane 2.1. Økonomisk ramme 2022'!C13,'Fane 2.1. Økonomisk ramme 2022'!C15)*(1+'Fane 14. Nøgletal'!C14)</f>
        <v>1316204.1353284002</v>
      </c>
      <c r="H36" s="14" t="s">
        <v>3</v>
      </c>
      <c r="I36" s="1"/>
    </row>
    <row r="37" spans="1:9" x14ac:dyDescent="0.25">
      <c r="A37" s="1"/>
      <c r="B37" s="102" t="s">
        <v>239</v>
      </c>
      <c r="C37" s="103"/>
      <c r="D37" s="103"/>
      <c r="E37" s="103"/>
      <c r="F37" s="104"/>
      <c r="G37" s="24">
        <f>(G35+G36)*'Fane 14. Nøgletal'!C24</f>
        <v>615042.98510876507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85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2" t="s">
        <v>81</v>
      </c>
      <c r="C41" s="103"/>
      <c r="D41" s="103"/>
      <c r="E41" s="103"/>
      <c r="F41" s="104"/>
      <c r="G41" s="24">
        <f>(G35+G36-G37)*(1+'Fane 14. Nøgletal'!C14)</f>
        <v>41077023.789231189</v>
      </c>
      <c r="H41" s="14" t="s">
        <v>3</v>
      </c>
      <c r="I41" s="1"/>
    </row>
    <row r="42" spans="1:9" x14ac:dyDescent="0.25">
      <c r="A42" s="1"/>
      <c r="B42" s="46" t="s">
        <v>242</v>
      </c>
      <c r="C42" s="61"/>
      <c r="D42" s="61"/>
      <c r="E42" s="61"/>
      <c r="F42" s="62"/>
      <c r="G42" s="24">
        <f>G36*(1+'Fane 14. Nøgletal'!C14)</f>
        <v>1320547.6089749839</v>
      </c>
      <c r="H42" s="14" t="s">
        <v>3</v>
      </c>
      <c r="I42" s="1"/>
    </row>
    <row r="43" spans="1:9" x14ac:dyDescent="0.25">
      <c r="A43" s="1"/>
      <c r="B43" s="102" t="s">
        <v>101</v>
      </c>
      <c r="C43" s="103"/>
      <c r="D43" s="103"/>
      <c r="E43" s="103"/>
      <c r="F43" s="104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2" t="s">
        <v>241</v>
      </c>
      <c r="C44" s="103"/>
      <c r="D44" s="103"/>
      <c r="E44" s="103"/>
      <c r="F44" s="104"/>
      <c r="G44" s="24">
        <f>(G41+G43)*'Fane 14. Nøgletal'!C24</f>
        <v>607939.95208062162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7" t="s">
        <v>181</v>
      </c>
      <c r="C52" s="98"/>
      <c r="D52" s="98"/>
      <c r="E52" s="98"/>
      <c r="F52" s="98"/>
      <c r="G52" s="98"/>
      <c r="H52" s="99"/>
      <c r="I52" s="1"/>
    </row>
    <row r="53" spans="1:9" x14ac:dyDescent="0.25">
      <c r="A53" s="1"/>
      <c r="B53" s="102" t="s">
        <v>182</v>
      </c>
      <c r="C53" s="103"/>
      <c r="D53" s="103"/>
      <c r="E53" s="103"/>
      <c r="F53" s="104"/>
      <c r="G53" s="24">
        <f>(G41+G43-G44)*(1+'Fane 14. Nøgletal'!C14)</f>
        <v>40602631.813813165</v>
      </c>
      <c r="H53" s="14" t="s">
        <v>3</v>
      </c>
      <c r="I53" s="1"/>
    </row>
    <row r="54" spans="1:9" x14ac:dyDescent="0.25">
      <c r="A54" s="1"/>
      <c r="B54" s="102" t="s">
        <v>183</v>
      </c>
      <c r="C54" s="103"/>
      <c r="D54" s="103"/>
      <c r="E54" s="103"/>
      <c r="F54" s="104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2" t="s">
        <v>184</v>
      </c>
      <c r="C55" s="103"/>
      <c r="D55" s="103"/>
      <c r="E55" s="103"/>
      <c r="F55" s="104"/>
      <c r="G55" s="24">
        <f>(G53+G54)*'Fane 14. Nøgletal'!C24</f>
        <v>600918.9508444349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7" t="s">
        <v>205</v>
      </c>
      <c r="C58" s="98"/>
      <c r="D58" s="98"/>
      <c r="E58" s="98"/>
      <c r="F58" s="98"/>
      <c r="G58" s="98"/>
      <c r="H58" s="99"/>
      <c r="I58" s="1"/>
    </row>
    <row r="59" spans="1:9" x14ac:dyDescent="0.25">
      <c r="A59" s="1"/>
      <c r="B59" s="102" t="s">
        <v>255</v>
      </c>
      <c r="C59" s="103"/>
      <c r="D59" s="103"/>
      <c r="E59" s="103"/>
      <c r="F59" s="104"/>
      <c r="G59" s="24">
        <f>(G53+G54-G55)*(1+'Fane 14. Nøgletal'!C14)</f>
        <v>40133718.515416525</v>
      </c>
      <c r="H59" s="14" t="s">
        <v>3</v>
      </c>
      <c r="I59" s="1"/>
    </row>
    <row r="60" spans="1:9" x14ac:dyDescent="0.25">
      <c r="A60" s="1"/>
      <c r="B60" s="102" t="s">
        <v>256</v>
      </c>
      <c r="C60" s="103"/>
      <c r="D60" s="103"/>
      <c r="E60" s="103"/>
      <c r="F60" s="104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2" t="s">
        <v>257</v>
      </c>
      <c r="C61" s="103"/>
      <c r="D61" s="103"/>
      <c r="E61" s="103"/>
      <c r="F61" s="104"/>
      <c r="G61" s="24">
        <f>(G59+G60)*'Fane 14. Nøgletal'!C24</f>
        <v>593979.03402816458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mL2c9N+MlJhQ3tTwwpGXxZZCC1t7orFHYXMfXYxZVN0QIZmVyaYefQBBacJvWAZP9f7B/0Bm3XD3DV2ez0Jv9g==" saltValue="b61k6iYLxXQiE2X/YZDNW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5" t="s">
        <v>96</v>
      </c>
      <c r="C3" s="85"/>
      <c r="D3" s="85"/>
      <c r="E3" s="85"/>
      <c r="F3" s="85"/>
      <c r="G3" s="85"/>
      <c r="H3" s="85"/>
      <c r="I3" s="1"/>
    </row>
    <row r="4" spans="1:9" ht="15" customHeight="1" x14ac:dyDescent="0.2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2" t="s">
        <v>243</v>
      </c>
      <c r="C9" s="103"/>
      <c r="D9" s="103"/>
      <c r="E9" s="103"/>
      <c r="F9" s="104"/>
      <c r="G9" s="23">
        <v>0.02</v>
      </c>
      <c r="H9" s="14"/>
      <c r="I9" s="1"/>
    </row>
    <row r="10" spans="1:9" x14ac:dyDescent="0.25">
      <c r="A10" s="1"/>
      <c r="B10" s="102" t="s">
        <v>86</v>
      </c>
      <c r="C10" s="103"/>
      <c r="D10" s="103"/>
      <c r="E10" s="103"/>
      <c r="F10" s="104"/>
      <c r="G10" s="23">
        <v>0.02</v>
      </c>
      <c r="H10" s="14"/>
      <c r="I10" s="1"/>
    </row>
    <row r="11" spans="1:9" x14ac:dyDescent="0.25">
      <c r="A11" s="1"/>
      <c r="B11" s="102" t="s">
        <v>87</v>
      </c>
      <c r="C11" s="103"/>
      <c r="D11" s="103"/>
      <c r="E11" s="103"/>
      <c r="F11" s="104"/>
      <c r="G11" s="41">
        <v>8.7020972603338211E-3</v>
      </c>
      <c r="H11" s="14"/>
      <c r="I11" s="1"/>
    </row>
    <row r="12" spans="1:9" x14ac:dyDescent="0.25">
      <c r="A12" s="1"/>
      <c r="B12" s="102" t="s">
        <v>206</v>
      </c>
      <c r="C12" s="103"/>
      <c r="D12" s="103"/>
      <c r="E12" s="103"/>
      <c r="F12" s="104"/>
      <c r="G12" s="41">
        <v>1.852394044343806E-2</v>
      </c>
      <c r="H12" s="45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3" t="s">
        <v>207</v>
      </c>
      <c r="C14" s="113"/>
      <c r="D14" s="113"/>
      <c r="E14" s="113"/>
      <c r="F14" s="113"/>
      <c r="G14" s="113"/>
      <c r="H14" s="113"/>
      <c r="I14" s="1"/>
    </row>
    <row r="15" spans="1:9" ht="14.25" customHeight="1" x14ac:dyDescent="0.25">
      <c r="A15" s="18"/>
      <c r="B15" s="113"/>
      <c r="C15" s="113"/>
      <c r="D15" s="113"/>
      <c r="E15" s="113"/>
      <c r="F15" s="113"/>
      <c r="G15" s="113"/>
      <c r="H15" s="113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2eJvgfCUe2Kf8whoIAq/C87WuQMi1PM+x9zEmJv3SpkzS5erLuuXiCsMU2sWRZ/F4wBdYLjrUZNNSplHd5N6cw==" saltValue="gZCtQGaMS0tnP6W2um6lS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2021-10-06T08:52:39Z</dcterms:modified>
</cp:coreProperties>
</file>