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købing-Skjern Vand AS (V15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9" i="2"/>
  <c r="F11" i="11"/>
  <c r="C10" i="37" s="1"/>
  <c r="C12" i="37" s="1"/>
  <c r="G11" i="11"/>
  <c r="C13" i="37" l="1"/>
  <c r="C11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l="1"/>
  <c r="C21" i="2" s="1"/>
  <c r="C32" i="2" l="1"/>
  <c r="C9" i="15"/>
  <c r="C12" i="15" s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<sst xmlns="http://schemas.openxmlformats.org/spreadsheetml/2006/main" count="598" uniqueCount="251">
  <si>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</si>
  <si>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</si>
  <si>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</si>
  <si>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</si>
  <si>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</si>
  <si>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</si>
  <si>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</si>
  <si>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</si>
  <si>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</si>
  <si>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</si>
  <si>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</si>
  <si>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</si>
  <si>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</si>
  <si>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</si>
  <si>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</si>
  <si>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</si>
  <si>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</si>
  <si>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</si>
  <si>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</si>
  <si>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</si>
  <si>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</si>
  <si>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</si>
  <si>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</si>
  <si>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</si>
  <si>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</si>
  <si>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</si>
  <si>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</si>
  <si>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</si>
  <si>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</si>
  <si>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</si>
  <si>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</si>
  <si>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</si>
  <si>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</si>
  <si>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</si>
  <si>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</si>
  <si>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</si>
  <si>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</si>
  <si>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</si>
  <si>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</si>
  <si>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</si>
  <si>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</si>
  <si>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</si>
  <si>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</si>
  <si>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</si>
  <si>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</si>
  <si>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</si>
  <si>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</si>
  <si>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</si>
  <si>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</si>
  <si>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</si>
  <si>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</si>
  <si>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</si>
  <si>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</si>
  <si>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</si>
  <si>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</si>
  <si>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</si>
  <si>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</si>
  <si>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</si>
  <si>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</si>
  <si>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</si>
  <si>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</si>
  <si>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</si>
  <si>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</si>
  <si>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</si>
  <si>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</si>
  <si>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</si>
  <si>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</si>
  <si>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</si>
  <si>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</si>
  <si>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</si>
  <si>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</si>
  <si>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</si>
  <si>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</si>
  <si>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</si>
  <si>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</si>
  <si>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</si>
  <si>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</si>
  <si>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</si>
  <si>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</si>
  <si>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</si>
  <si>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</si>
  <si>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</si>
  <si>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</si>
  <si>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</si>
  <si>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</si>
  <si>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</si>
  <si>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</si>
  <si>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</si>
  <si>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</si>
  <si>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</si>
  <si>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</si>
  <si>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</si>
  <si>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</si>
  <si>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</si>
  <si>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</si>
  <si>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</si>
  <si>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</si>
  <si>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</si>
  <si>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</si>
  <si>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</si>
  <si>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</si>
  <si>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</si>
  <si>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</si>
  <si>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</si>
  <si>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</si>
  <si>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</si>
  <si>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</si>
  <si>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</si>
  <si>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</si>
  <si>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</si>
  <si>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</si>
  <si>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</si>
  <si>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</si>
  <si>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</si>
  <si>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</si>
  <si>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</si>
  <si>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</si>
  <si>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</si>
  <si>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</si>
  <si>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</si>
  <si>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</si>
  <si>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</si>
  <si>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</si>
  <si>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</si>
  <si>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</si>
  <si>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</si>
  <si>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</si>
  <si>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</si>
  <si>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</si>
  <si>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</si>
  <si>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</si>
  <si>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</si>
  <si>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</si>
  <si>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</si>
  <si>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</si>
  <si>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</si>
  <si>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</si>
  <si>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</si>
  <si>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</si>
  <si>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</si>
  <si>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</si>
  <si>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</si>
  <si>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</si>
  <si>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</si>
  <si>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</si>
  <si>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</si>
  <si>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</si>
  <si>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</si>
  <si>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</si>
  <si>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</si>
  <si>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</si>
  <si>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</si>
  <si>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</si>
  <si>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</si>
  <si>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</si>
  <si>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</si>
  <si>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</si>
  <si>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</si>
  <si>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</si>
  <si>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</si>
  <si>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</si>
  <si>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</si>
  <si>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</si>
  <si>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</si>
  <si>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</si>
  <si>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</si>
  <si>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</si>
  <si>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</si>
  <si>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</si>
  <si>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</si>
  <si>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</si>
  <si>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</si>
  <si>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</si>
  <si>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</si>
  <si>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</si>
  <si>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</si>
  <si>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</si>
  <si>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</si>
  <si>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</si>
  <si>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</si>
  <si>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</si>
  <si>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</si>
  <si>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</si>
  <si>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</si>
  <si>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</si>
  <si>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</si>
  <si>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</si>
  <si>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</si>
  <si>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</si>
  <si>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</si>
  <si>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</si>
  <si>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</si>
  <si>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</si>
  <si>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</si>
  <si>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</si>
  <si>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</si>
  <si>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</si>
  <si>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</si>
  <si>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</si>
  <si>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</si>
  <si>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</si>
  <si>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</si>
  <si>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</si>
  <si>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</si>
  <si>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</si>
  <si>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</si>
  <si>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</si>
  <si>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</si>
  <si>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</si>
  <si>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</si>
  <si>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</si>
  <si>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</si>
  <si>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</si>
  <si>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</si>
  <si>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</si>
  <si>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</si>
  <si>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</si>
  <si>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</si>
  <si>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</si>
  <si>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</si>
  <si>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</si>
  <si>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</si>
  <si>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</si>
  <si>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</si>
  <si>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</si>
  <si>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</si>
  <si>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</si>
  <si>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</si>
  <si>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</si>
  <si>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</si>
  <si>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</si>
  <si>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</si>
  <si>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</si>
  <si>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</si>
  <si>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</si>
  <si>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</si>
  <si>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</si>
  <si>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Tilbagebetaling af sambeskatningsbidrag som følge af skattesagen</t>
  </si>
  <si>
    <t>Erstatninger</t>
  </si>
  <si>
    <t>Ingen tilknyttet virksomhed</t>
  </si>
  <si>
    <t>Ingen bortfald eller nedsættelse</t>
  </si>
  <si>
    <t>Økonomisk ramme for 2024</t>
  </si>
  <si>
    <t>Udvidelse af forsyningsområd</t>
  </si>
  <si>
    <t>Ingen engangstillæg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</si>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</sst>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lpXb0ItYhf0RzeE0cjK+JAe0853wbS4QPxS22eykZ+Q9gGMGg2Pd03TUm3kMpbQuhqrex1GP7b7Vt9H2rvquw==" saltValue="EiTQuXWy8z4bpmxpyQd5Q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4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22234377</v>
      </c>
      <c r="D10" s="14" t="s">
        <v>3</v>
      </c>
      <c r="E10" s="1"/>
      <c r="F10" s="1"/>
    </row>
    <row r="11" spans="1:6" ht="15" customHeight="1" x14ac:dyDescent="0.45">
      <c r="A11" s="1"/>
      <c r="B11" s="52" t="s">
        <v>235</v>
      </c>
      <c r="C11" s="9">
        <v>110316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51125</v>
      </c>
      <c r="D12" s="14" t="s">
        <v>3</v>
      </c>
      <c r="E12" s="1"/>
      <c r="F12" s="1"/>
    </row>
    <row r="13" spans="1:6" ht="26.65" x14ac:dyDescent="0.45">
      <c r="A13" s="1"/>
      <c r="B13" s="51" t="s">
        <v>237</v>
      </c>
      <c r="C13" s="9">
        <v>4288962.666666667</v>
      </c>
      <c r="D13" s="14" t="s">
        <v>3</v>
      </c>
      <c r="E13" s="1"/>
      <c r="F13" s="1"/>
    </row>
    <row r="14" spans="1:6" x14ac:dyDescent="0.45">
      <c r="A14" s="1"/>
      <c r="B14" s="52" t="s">
        <v>238</v>
      </c>
      <c r="C14" s="9">
        <v>83700</v>
      </c>
      <c r="D14" s="14" t="s">
        <v>3</v>
      </c>
      <c r="E14" s="1"/>
      <c r="F14" s="1"/>
    </row>
    <row r="15" spans="1:6" x14ac:dyDescent="0.45">
      <c r="A15" s="1"/>
      <c r="B15" s="51" t="s">
        <v>247</v>
      </c>
      <c r="C15" s="9">
        <v>101460.1333481351</v>
      </c>
      <c r="D15" s="14" t="s">
        <v>3</v>
      </c>
      <c r="E15" s="1"/>
      <c r="F15" s="1"/>
    </row>
    <row r="16" spans="1:6" x14ac:dyDescent="0.45">
      <c r="A16" s="1"/>
      <c r="B16" s="49" t="s">
        <v>169</v>
      </c>
      <c r="C16" s="12">
        <f>SUM(C10:C15)</f>
        <v>26869940.800014801</v>
      </c>
      <c r="D16" s="13" t="s">
        <v>3</v>
      </c>
      <c r="E16" s="1"/>
      <c r="F16" s="1"/>
    </row>
    <row r="17" spans="1:6" x14ac:dyDescent="0.45">
      <c r="A17" s="1"/>
      <c r="B17" s="49" t="s">
        <v>170</v>
      </c>
      <c r="C17" s="12">
        <f>C16*(1+'Fane 12. Nøgletal'!C13)^2</f>
        <v>27529566.677523836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WnoemRN0xdAPzutyfCWXF+DCrh9LiuX7NF4QLmne5b99OSZSc/VMgY+QyHWs7p6m7u0GvMuAp/WQ82HN4giYYg==" saltValue="cV8pZM7OdWD+uHvrGWdC6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3" t="s">
        <v>172</v>
      </c>
      <c r="C2" s="83"/>
      <c r="D2" s="83"/>
      <c r="E2" s="83"/>
      <c r="F2" s="83"/>
      <c r="G2" s="1"/>
    </row>
    <row r="3" spans="1:7" ht="15" customHeight="1" x14ac:dyDescent="0.45">
      <c r="A3" s="1"/>
      <c r="B3" s="83"/>
      <c r="C3" s="83"/>
      <c r="D3" s="83"/>
      <c r="E3" s="83"/>
      <c r="F3" s="83"/>
      <c r="G3" s="1"/>
    </row>
    <row r="4" spans="1:7" ht="15" customHeight="1" x14ac:dyDescent="0.4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45">
      <c r="A5" s="1"/>
      <c r="B5" s="99" t="s">
        <v>37</v>
      </c>
      <c r="C5" s="100"/>
      <c r="D5" s="101"/>
      <c r="E5" s="9">
        <v>5542799.0140333334</v>
      </c>
      <c r="F5" s="14" t="s">
        <v>3</v>
      </c>
      <c r="G5" s="1"/>
    </row>
    <row r="6" spans="1:7" ht="15" customHeight="1" x14ac:dyDescent="0.45">
      <c r="A6" s="1"/>
      <c r="B6" s="99" t="s">
        <v>38</v>
      </c>
      <c r="C6" s="100"/>
      <c r="D6" s="101"/>
      <c r="E6" s="9">
        <v>-10598883.864108503</v>
      </c>
      <c r="F6" s="14" t="s">
        <v>3</v>
      </c>
      <c r="G6" s="1"/>
    </row>
    <row r="7" spans="1:7" ht="15" customHeight="1" x14ac:dyDescent="0.45">
      <c r="A7" s="1"/>
      <c r="B7" s="107" t="s">
        <v>131</v>
      </c>
      <c r="C7" s="108"/>
      <c r="D7" s="109"/>
      <c r="E7" s="10">
        <f>SUM(E5:E6)</f>
        <v>-5056084.8500751695</v>
      </c>
      <c r="F7" s="17" t="s">
        <v>3</v>
      </c>
      <c r="G7" s="1"/>
    </row>
    <row r="8" spans="1:7" ht="15" customHeight="1" x14ac:dyDescent="0.45">
      <c r="A8" s="1"/>
      <c r="B8" s="49"/>
      <c r="C8" s="50"/>
      <c r="D8" s="50"/>
      <c r="E8" s="50"/>
      <c r="F8" s="20"/>
      <c r="G8" s="1"/>
    </row>
    <row r="9" spans="1:7" ht="28.5" customHeight="1" x14ac:dyDescent="0.45">
      <c r="A9" s="1"/>
      <c r="B9" s="87" t="s">
        <v>132</v>
      </c>
      <c r="C9" s="88"/>
      <c r="D9" s="88"/>
      <c r="E9" s="88"/>
      <c r="F9" s="89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6" t="s">
        <v>116</v>
      </c>
      <c r="C11" s="97"/>
      <c r="D11" s="97"/>
      <c r="E11" s="97"/>
      <c r="F11" s="98"/>
      <c r="G11" s="1"/>
    </row>
    <row r="12" spans="1:7" x14ac:dyDescent="0.45">
      <c r="A12" s="1"/>
      <c r="B12" s="99" t="s">
        <v>117</v>
      </c>
      <c r="C12" s="100"/>
      <c r="D12" s="101"/>
      <c r="E12" s="9">
        <v>64009967.311230645</v>
      </c>
      <c r="F12" s="14" t="s">
        <v>3</v>
      </c>
      <c r="G12" s="1"/>
    </row>
    <row r="13" spans="1:7" x14ac:dyDescent="0.45">
      <c r="A13" s="1"/>
      <c r="B13" s="99" t="s">
        <v>118</v>
      </c>
      <c r="C13" s="100"/>
      <c r="D13" s="101"/>
      <c r="E13" s="9">
        <v>74745104</v>
      </c>
      <c r="F13" s="14" t="s">
        <v>3</v>
      </c>
      <c r="G13" s="1"/>
    </row>
    <row r="14" spans="1:7" x14ac:dyDescent="0.4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45">
      <c r="A15" s="1"/>
      <c r="B15" s="107" t="s">
        <v>208</v>
      </c>
      <c r="C15" s="108"/>
      <c r="D15" s="109"/>
      <c r="E15" s="10">
        <f>E12-(E13-E14)</f>
        <v>-10735136.688769355</v>
      </c>
      <c r="F15" s="17" t="s">
        <v>3</v>
      </c>
      <c r="G15" s="1"/>
    </row>
    <row r="16" spans="1:7" x14ac:dyDescent="0.45">
      <c r="A16" s="1"/>
      <c r="B16" s="49"/>
      <c r="C16" s="50"/>
      <c r="D16" s="50"/>
      <c r="E16" s="50"/>
      <c r="F16" s="20"/>
      <c r="G16" s="1"/>
    </row>
    <row r="17" spans="1:7" ht="30" customHeight="1" x14ac:dyDescent="0.45">
      <c r="A17" s="1"/>
      <c r="B17" s="87" t="s">
        <v>133</v>
      </c>
      <c r="C17" s="88"/>
      <c r="D17" s="88"/>
      <c r="E17" s="88"/>
      <c r="F17" s="89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6" t="s">
        <v>50</v>
      </c>
      <c r="C19" s="97"/>
      <c r="D19" s="97"/>
      <c r="E19" s="97"/>
      <c r="F19" s="98"/>
      <c r="G19" s="1"/>
    </row>
    <row r="20" spans="1:7" x14ac:dyDescent="0.45">
      <c r="A20" s="1"/>
      <c r="B20" s="99" t="s">
        <v>51</v>
      </c>
      <c r="C20" s="100"/>
      <c r="D20" s="101"/>
      <c r="E20" s="9">
        <v>68873111.309598237</v>
      </c>
      <c r="F20" s="14" t="s">
        <v>3</v>
      </c>
      <c r="G20" s="1"/>
    </row>
    <row r="21" spans="1:7" x14ac:dyDescent="0.45">
      <c r="A21" s="1"/>
      <c r="B21" s="99" t="s">
        <v>52</v>
      </c>
      <c r="C21" s="100"/>
      <c r="D21" s="101"/>
      <c r="E21" s="9">
        <v>65370074</v>
      </c>
      <c r="F21" s="14" t="s">
        <v>3</v>
      </c>
      <c r="G21" s="1"/>
    </row>
    <row r="22" spans="1:7" x14ac:dyDescent="0.4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45">
      <c r="A23" s="1"/>
      <c r="B23" s="107" t="s">
        <v>209</v>
      </c>
      <c r="C23" s="108"/>
      <c r="D23" s="109"/>
      <c r="E23" s="10">
        <f>E20-(E21-E22)</f>
        <v>3503037.3095982373</v>
      </c>
      <c r="F23" s="17" t="s">
        <v>3</v>
      </c>
      <c r="G23" s="1"/>
    </row>
    <row r="24" spans="1:7" x14ac:dyDescent="0.45">
      <c r="A24" s="1"/>
      <c r="B24" s="49"/>
      <c r="C24" s="50"/>
      <c r="D24" s="50"/>
      <c r="E24" s="50"/>
      <c r="F24" s="20"/>
      <c r="G24" s="1"/>
    </row>
    <row r="25" spans="1:7" ht="28.5" customHeight="1" x14ac:dyDescent="0.45">
      <c r="A25" s="1"/>
      <c r="B25" s="87" t="s">
        <v>179</v>
      </c>
      <c r="C25" s="88"/>
      <c r="D25" s="88"/>
      <c r="E25" s="88"/>
      <c r="F25" s="89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6" t="s">
        <v>200</v>
      </c>
      <c r="C27" s="97"/>
      <c r="D27" s="97"/>
      <c r="E27" s="97"/>
      <c r="F27" s="98"/>
      <c r="G27" s="1"/>
    </row>
    <row r="28" spans="1:7" x14ac:dyDescent="0.45">
      <c r="A28" s="1"/>
      <c r="B28" s="99" t="s">
        <v>201</v>
      </c>
      <c r="C28" s="100"/>
      <c r="D28" s="101"/>
      <c r="E28" s="9">
        <v>60494997.334303275</v>
      </c>
      <c r="F28" s="14" t="s">
        <v>3</v>
      </c>
      <c r="G28" s="1"/>
    </row>
    <row r="29" spans="1:7" x14ac:dyDescent="0.45">
      <c r="A29" s="1"/>
      <c r="B29" s="99" t="s">
        <v>202</v>
      </c>
      <c r="C29" s="100"/>
      <c r="D29" s="101"/>
      <c r="E29" s="9">
        <v>63711098</v>
      </c>
      <c r="F29" s="14" t="s">
        <v>3</v>
      </c>
      <c r="G29" s="1"/>
    </row>
    <row r="30" spans="1:7" x14ac:dyDescent="0.4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45">
      <c r="A31" s="1"/>
      <c r="B31" s="107" t="s">
        <v>210</v>
      </c>
      <c r="C31" s="108"/>
      <c r="D31" s="109"/>
      <c r="E31" s="10">
        <f>E28-(E29-E30)</f>
        <v>-3216100.6656967252</v>
      </c>
      <c r="F31" s="17" t="s">
        <v>3</v>
      </c>
      <c r="G31" s="1"/>
    </row>
    <row r="32" spans="1:7" x14ac:dyDescent="0.45">
      <c r="A32" s="1"/>
      <c r="B32" s="49"/>
      <c r="C32" s="50"/>
      <c r="D32" s="50"/>
      <c r="E32" s="50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6" t="s">
        <v>125</v>
      </c>
      <c r="C34" s="97"/>
      <c r="D34" s="97"/>
      <c r="E34" s="97"/>
      <c r="F34" s="98"/>
      <c r="G34" s="1"/>
    </row>
    <row r="35" spans="1:7" x14ac:dyDescent="0.45">
      <c r="A35" s="1"/>
      <c r="B35" s="110" t="s">
        <v>249</v>
      </c>
      <c r="C35" s="111"/>
      <c r="D35" s="112"/>
      <c r="E35" s="9">
        <v>0</v>
      </c>
      <c r="F35" s="14"/>
      <c r="G35" s="1"/>
    </row>
    <row r="36" spans="1:7" x14ac:dyDescent="0.45">
      <c r="A36" s="1"/>
      <c r="B36" s="110" t="s">
        <v>250</v>
      </c>
      <c r="C36" s="111"/>
      <c r="D36" s="112"/>
      <c r="E36" s="9">
        <v>1</v>
      </c>
      <c r="F36" s="14"/>
      <c r="G36" s="1"/>
    </row>
    <row r="37" spans="1:7" x14ac:dyDescent="0.4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-3216100.6656967252</v>
      </c>
      <c r="F37" s="14" t="s">
        <v>3</v>
      </c>
      <c r="G37" s="1"/>
    </row>
    <row r="38" spans="1:7" x14ac:dyDescent="0.4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45">
      <c r="A39" s="1"/>
      <c r="B39" s="113" t="s">
        <v>203</v>
      </c>
      <c r="C39" s="113"/>
      <c r="D39" s="113"/>
      <c r="E39" s="10">
        <f>E37/E38</f>
        <v>-1608050.3328483626</v>
      </c>
      <c r="F39" s="17" t="s">
        <v>3</v>
      </c>
      <c r="G39" s="1"/>
    </row>
    <row r="40" spans="1:7" x14ac:dyDescent="0.45">
      <c r="A40" s="1"/>
      <c r="B40" s="96"/>
      <c r="C40" s="97"/>
      <c r="D40" s="97"/>
      <c r="E40" s="97"/>
      <c r="F40" s="98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6ruSn1IAC6kwGH9sXpooOGi2A2Fi1++LyCSF0p9iUvEZpJBwQYubxoxW8bDhW3WPNe9HRZRUUdFKFr72lquqQg==" saltValue="PMeLxNMo4GSIxsc7cT1GrQ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45">
      <c r="A10" s="1"/>
      <c r="B10" s="40" t="s">
        <v>248</v>
      </c>
      <c r="C10" s="41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W3QGCjKn1MpCDpgVhbt3FDdwLcSYPUrwSOo5elG8PJ+YUVIc2yv+1Ta2WxtXfe3EYxfftdkzc45KQ5VIS9HAQ==" saltValue="jc1NFu7V4Mwjo50qPqobc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94</v>
      </c>
      <c r="C8" s="50"/>
      <c r="D8" s="50"/>
      <c r="E8" s="50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6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2" t="s">
        <v>242</v>
      </c>
      <c r="C11" s="22">
        <v>24134</v>
      </c>
      <c r="D11" s="14" t="s">
        <v>3</v>
      </c>
      <c r="E11" s="9">
        <v>65437</v>
      </c>
      <c r="F11" s="14" t="s">
        <v>3</v>
      </c>
      <c r="G11" s="1"/>
    </row>
    <row r="12" spans="1:7" x14ac:dyDescent="0.45">
      <c r="A12" s="1"/>
      <c r="B12" s="49" t="s">
        <v>48</v>
      </c>
      <c r="C12" s="12">
        <f>SUM(C10:C11)</f>
        <v>24134</v>
      </c>
      <c r="D12" s="13" t="s">
        <v>3</v>
      </c>
      <c r="E12" s="12">
        <f>SUM(E10:E11)</f>
        <v>65437</v>
      </c>
      <c r="F12" s="13" t="s">
        <v>3</v>
      </c>
      <c r="G12" s="1"/>
    </row>
    <row r="13" spans="1:7" x14ac:dyDescent="0.45">
      <c r="A13" s="1"/>
      <c r="B13" s="49" t="s">
        <v>173</v>
      </c>
      <c r="C13" s="12">
        <f>C12*(1+'Fane 12. Nøgletal'!C13)</f>
        <v>24428.434799999999</v>
      </c>
      <c r="D13" s="13" t="s">
        <v>3</v>
      </c>
      <c r="E13" s="12">
        <f>E12*(1+'Fane 12. Nøgletal'!C13)</f>
        <v>66235.331399999995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+LpxTHbPFACvtLEefJ7jU6LGy9BTIzFZZzxdwzVT1a9MSQwifRB2drvMBo01kamRpzW4KT32DkU3gSr/8uiKlw==" saltValue="VwcpTSG64SbleNt+aqR6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6"/>
      <c r="G9" s="1"/>
    </row>
    <row r="10" spans="1:7" x14ac:dyDescent="0.4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9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6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9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9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6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9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9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6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9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9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iWd700zg+FZOToWeVPAyy3N14AVR44Vvp4mMxdN7LbkHnHpmEj6bZ3qrG1s00DtSEDlREg5syVj6GTfN0zG2w==" saltValue="jWUwZY6uYhWzNMGD/B/fa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5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bSj9qdzA4fk89c5ZhMnzXYdxoy38ys6UIoINu7bxD+BYe8TN18p/hYnFCCRQFaUVM+Xc5KRRQahtYIQiXHnyRQ==" saltValue="euC4lQVYeq0ylCd47xd6Y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9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9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9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9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9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9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9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J3xgSLsvBVcC/yAGNPCkq9FThypnpHXHnjX2z4QIOHNrQcM2VZ8n38FHNvVHXeyfCNr1gPlt/YBI+5A6AckKA==" saltValue="acgn66yZTTZzACkQIR0bJ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9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9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9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9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9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uBSiZTrjDBw+5rNouFAImA00JLG7uAKkL+pKy5FBpzK36CIq1OjCJiYofqUtxa5Yinb48y0p9BXVGfqgeQ79gA==" saltValue="7Gmm6rdPyr81EzNnmLGsjA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13</v>
      </c>
      <c r="C8" s="50"/>
      <c r="D8" s="20"/>
      <c r="E8" s="1"/>
    </row>
    <row r="9" spans="1:5" x14ac:dyDescent="0.45">
      <c r="A9" s="1"/>
      <c r="B9" s="51" t="s">
        <v>25</v>
      </c>
      <c r="C9" s="7">
        <f>'Fane 3. Omkostninger i ØR2020'!E20</f>
        <v>46336657.833599173</v>
      </c>
      <c r="D9" s="8" t="s">
        <v>3</v>
      </c>
      <c r="E9" s="1"/>
    </row>
    <row r="10" spans="1:5" x14ac:dyDescent="0.45">
      <c r="A10" s="1"/>
      <c r="B10" s="51" t="s">
        <v>244</v>
      </c>
      <c r="C10" s="7">
        <v>-4978.4607781468321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24428.434799999999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66235.331399999995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566352.58629605651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-547215.33483568125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-321214.02945139236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-929565.39291256922</v>
      </c>
      <c r="D20" s="8" t="s">
        <v>3</v>
      </c>
      <c r="E20" s="1"/>
    </row>
    <row r="21" spans="1:5" ht="17.100000000000001" customHeight="1" x14ac:dyDescent="0.45">
      <c r="A21" s="1"/>
      <c r="B21" s="53" t="s">
        <v>20</v>
      </c>
      <c r="C21" s="10">
        <f>SUM(C9:C20)</f>
        <v>45190700.968117446</v>
      </c>
      <c r="D21" s="11" t="s">
        <v>3</v>
      </c>
      <c r="E21" s="1"/>
    </row>
    <row r="22" spans="1:5" ht="15" customHeight="1" x14ac:dyDescent="0.45">
      <c r="A22" s="1"/>
      <c r="B22" s="49" t="s">
        <v>12</v>
      </c>
      <c r="C22" s="50"/>
      <c r="D22" s="20"/>
      <c r="E22" s="1"/>
    </row>
    <row r="23" spans="1:5" ht="15" customHeight="1" x14ac:dyDescent="0.45">
      <c r="A23" s="1"/>
      <c r="B23" s="45" t="s">
        <v>12</v>
      </c>
      <c r="C23" s="10">
        <f>'Fane 6. Ikke-påvirkelige omk.'!C17</f>
        <v>27529566.677523836</v>
      </c>
      <c r="D23" s="11" t="s">
        <v>3</v>
      </c>
      <c r="E23" s="1"/>
    </row>
    <row r="24" spans="1:5" ht="15" customHeight="1" x14ac:dyDescent="0.45">
      <c r="A24" s="1"/>
      <c r="B24" s="49" t="s">
        <v>99</v>
      </c>
      <c r="C24" s="50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3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50"/>
      <c r="D28" s="20"/>
      <c r="E28" s="1"/>
    </row>
    <row r="29" spans="1:5" x14ac:dyDescent="0.45">
      <c r="A29" s="1"/>
      <c r="B29" s="39" t="s">
        <v>205</v>
      </c>
      <c r="C29" s="10">
        <f>'Fane 7. Kontrol af ØR2019'!E39</f>
        <v>-1608050.3328483626</v>
      </c>
      <c r="D29" s="11" t="s">
        <v>3</v>
      </c>
      <c r="E29" s="1"/>
    </row>
    <row r="30" spans="1:5" x14ac:dyDescent="0.45">
      <c r="A30" s="1"/>
      <c r="B30" s="38" t="s">
        <v>245</v>
      </c>
      <c r="C30" s="50"/>
      <c r="D30" s="20"/>
      <c r="E30" s="1"/>
    </row>
    <row r="31" spans="1:5" x14ac:dyDescent="0.45">
      <c r="A31" s="1"/>
      <c r="B31" s="39" t="s">
        <v>246</v>
      </c>
      <c r="C31" s="10">
        <v>176.8651599390416</v>
      </c>
      <c r="D31" s="11" t="s">
        <v>3</v>
      </c>
      <c r="E31" s="1"/>
    </row>
    <row r="32" spans="1:5" x14ac:dyDescent="0.45">
      <c r="A32" s="1"/>
      <c r="B32" s="49" t="s">
        <v>31</v>
      </c>
      <c r="C32" s="32">
        <f>SUM(C21,C23,C27,C29,C31)</f>
        <v>71112394.177952871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8FtTbHf9JNh2AZrjwzC4XzuAZX/6tqCToTVLlU5onY5UprOeq7usjZ451A50Rf7fQaFcDx007DslveoVBVThqA==" saltValue="vF2RGUA9DSDXl+mknEkef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13</v>
      </c>
      <c r="C8" s="50"/>
      <c r="D8" s="20"/>
      <c r="E8" s="1"/>
    </row>
    <row r="9" spans="1:5" ht="15" customHeight="1" x14ac:dyDescent="0.45">
      <c r="A9" s="1"/>
      <c r="B9" s="51" t="s">
        <v>26</v>
      </c>
      <c r="C9" s="7">
        <f>'Fane 2.1. Økonomisk ramme 2021'!C21</f>
        <v>45190700.968117446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3" t="s">
        <v>18</v>
      </c>
      <c r="C12" s="9">
        <f>SUM(C9:C11)*'Fane 12. Nøgletal'!C13</f>
        <v>551326.55181103293</v>
      </c>
      <c r="D12" s="8" t="s">
        <v>3</v>
      </c>
      <c r="E12" s="1"/>
    </row>
    <row r="13" spans="1:5" ht="15" customHeight="1" x14ac:dyDescent="0.45">
      <c r="A13" s="1"/>
      <c r="B13" s="43" t="s">
        <v>9</v>
      </c>
      <c r="C13" s="9">
        <f>-SUM(C9:C12)*'Fane 5. Individuelt eff. krav'!G10</f>
        <v>-532697.03529766784</v>
      </c>
      <c r="D13" s="8" t="s">
        <v>3</v>
      </c>
      <c r="E13" s="1"/>
    </row>
    <row r="14" spans="1:5" ht="15" customHeight="1" x14ac:dyDescent="0.45">
      <c r="A14" s="1"/>
      <c r="B14" s="43" t="s">
        <v>27</v>
      </c>
      <c r="C14" s="9">
        <f>-'Fane 4.1. Gen. krav - drift'!G37</f>
        <v>-318630.18379848538</v>
      </c>
      <c r="D14" s="8" t="s">
        <v>3</v>
      </c>
      <c r="E14" s="1"/>
    </row>
    <row r="15" spans="1:5" ht="15" customHeight="1" x14ac:dyDescent="0.45">
      <c r="A15" s="1"/>
      <c r="B15" s="43" t="s">
        <v>28</v>
      </c>
      <c r="C15" s="9">
        <f>-'Fane 4.2. Gen. krav - anlæg'!G37</f>
        <v>-915031.17321168468</v>
      </c>
      <c r="D15" s="8" t="s">
        <v>3</v>
      </c>
      <c r="E15" s="1"/>
    </row>
    <row r="16" spans="1:5" ht="15" customHeight="1" x14ac:dyDescent="0.45">
      <c r="A16" s="1"/>
      <c r="B16" s="44" t="s">
        <v>20</v>
      </c>
      <c r="C16" s="10">
        <f>SUM(C9:C15)</f>
        <v>43975669.127620637</v>
      </c>
      <c r="D16" s="11" t="s">
        <v>3</v>
      </c>
      <c r="E16" s="1"/>
    </row>
    <row r="17" spans="1:5" x14ac:dyDescent="0.45">
      <c r="A17" s="1"/>
      <c r="B17" s="49" t="s">
        <v>12</v>
      </c>
      <c r="C17" s="50"/>
      <c r="D17" s="20"/>
      <c r="E17" s="1"/>
    </row>
    <row r="18" spans="1:5" ht="15" customHeight="1" x14ac:dyDescent="0.45">
      <c r="A18" s="1"/>
      <c r="B18" s="45" t="s">
        <v>12</v>
      </c>
      <c r="C18" s="10">
        <f>'Fane 6. Ikke-påvirkelige omk.'!C17*(1+'Fane 12. Nøgletal'!C13)</f>
        <v>27865427.390989628</v>
      </c>
      <c r="D18" s="11" t="s">
        <v>3</v>
      </c>
      <c r="E18" s="1"/>
    </row>
    <row r="19" spans="1:5" ht="15" customHeight="1" x14ac:dyDescent="0.45">
      <c r="A19" s="1"/>
      <c r="B19" s="49" t="s">
        <v>99</v>
      </c>
      <c r="C19" s="50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50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ØR2019'!E39</f>
        <v>-1608050.3328483626</v>
      </c>
      <c r="D24" s="11" t="s">
        <v>3</v>
      </c>
      <c r="E24" s="1"/>
    </row>
    <row r="25" spans="1:5" x14ac:dyDescent="0.45">
      <c r="A25" s="1"/>
      <c r="B25" s="49" t="s">
        <v>32</v>
      </c>
      <c r="C25" s="12">
        <f>SUM(C16,C18,C22,C24)</f>
        <v>70233046.185761899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r7mmFCeyxrjIfLiv/wq5sQvuyF+BHGvRzajs0tbosMg5KsCTn50c8rEULZeLCfGdZxANmeFvjOvbp+jPmNr3Q==" saltValue="KEEIgdmVjdKchTwgDuQp2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13</v>
      </c>
      <c r="C7" s="50"/>
      <c r="D7" s="20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43975669.127620637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536503.16335697181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-518374.53431053885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drift'!G43</f>
        <v>-316067.12260001036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anlæg'!G43</f>
        <v>-900724.20330293325</v>
      </c>
      <c r="D14" s="8" t="s">
        <v>3</v>
      </c>
      <c r="E14" s="1"/>
    </row>
    <row r="15" spans="1:5" x14ac:dyDescent="0.45">
      <c r="A15" s="1"/>
      <c r="B15" s="44" t="s">
        <v>20</v>
      </c>
      <c r="C15" s="10">
        <f>SUM(C8:C14)</f>
        <v>42777006.430764124</v>
      </c>
      <c r="D15" s="11" t="s">
        <v>3</v>
      </c>
      <c r="E15" s="1"/>
    </row>
    <row r="16" spans="1:5" x14ac:dyDescent="0.45">
      <c r="A16" s="1"/>
      <c r="B16" s="49" t="s">
        <v>12</v>
      </c>
      <c r="C16" s="50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omk.'!C17*(1+'Fane 12. Nøgletal'!C13)^2</f>
        <v>28205385.6051597</v>
      </c>
      <c r="D17" s="11" t="s">
        <v>3</v>
      </c>
      <c r="E17" s="1"/>
    </row>
    <row r="18" spans="1:5" ht="15" customHeight="1" x14ac:dyDescent="0.45">
      <c r="A18" s="1"/>
      <c r="B18" s="49" t="s">
        <v>99</v>
      </c>
      <c r="C18" s="50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9" t="s">
        <v>109</v>
      </c>
      <c r="C22" s="12">
        <f>SUM(C15,C17,C21)</f>
        <v>70982392.035923824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sMF1uhOs67iQ9iM3U2Psl4dEsS9vJgAqvb69b1m9gXIB8QWVk+2Dhu2lrpzTGO6W/kFyK+xCKb6ySpRvoyvPQ==" saltValue="VVzWBNKLfSVPMklBfJIYE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13</v>
      </c>
      <c r="C7" s="50"/>
      <c r="D7" s="20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42777006.430764124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521879.47845532233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-504244.98882311961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drift'!G49</f>
        <v>-313524.67866581591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anlæg'!G49</f>
        <v>-886640.93002219021</v>
      </c>
      <c r="D14" s="8" t="s">
        <v>3</v>
      </c>
      <c r="E14" s="1"/>
    </row>
    <row r="15" spans="1:5" x14ac:dyDescent="0.45">
      <c r="A15" s="1"/>
      <c r="B15" s="44" t="s">
        <v>20</v>
      </c>
      <c r="C15" s="10">
        <f>SUM(C8:C14)</f>
        <v>41594475.311708316</v>
      </c>
      <c r="D15" s="11" t="s">
        <v>3</v>
      </c>
      <c r="E15" s="1"/>
    </row>
    <row r="16" spans="1:5" x14ac:dyDescent="0.45">
      <c r="A16" s="1"/>
      <c r="B16" s="49" t="s">
        <v>12</v>
      </c>
      <c r="C16" s="50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omk.'!C17*(1+'Fane 12. Nøgletal'!C13)^3</f>
        <v>28549491.309542652</v>
      </c>
      <c r="D17" s="11" t="s">
        <v>3</v>
      </c>
      <c r="E17" s="1"/>
    </row>
    <row r="18" spans="1:5" ht="15" customHeight="1" x14ac:dyDescent="0.45">
      <c r="A18" s="1"/>
      <c r="B18" s="49" t="s">
        <v>99</v>
      </c>
      <c r="C18" s="50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9" t="s">
        <v>241</v>
      </c>
      <c r="C22" s="12">
        <f>SUM(C15,C17,C21)</f>
        <v>70143966.621250972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qlo1SgfNXr/EK2c3NlJrZeS6AEyjLNTU/sTN/ecyBffkx0pZCw1ayDLbaCv/SUtdNkezRTy4qS9KLt1KC4R1A==" saltValue="XIY2Yc65/d+r2PZkBpFg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167</v>
      </c>
      <c r="C8" s="50"/>
      <c r="D8" s="50"/>
      <c r="E8" s="50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46333779.960744061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111527.64810000001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486004.21353000007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794812.25901068561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-763792.68977748824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-323320.28861895204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-302353.2693891364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46336657.833599173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50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24312046.561150692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50"/>
      <c r="F23" s="50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414953.43201675004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400013.58950104198</v>
      </c>
      <c r="F26" s="11" t="s">
        <v>3</v>
      </c>
      <c r="G26" s="1"/>
    </row>
    <row r="27" spans="1:7" ht="14.25" customHeight="1" x14ac:dyDescent="0.45">
      <c r="A27" s="1"/>
      <c r="B27" s="49" t="s">
        <v>228</v>
      </c>
      <c r="C27" s="50"/>
      <c r="D27" s="50"/>
      <c r="E27" s="50"/>
      <c r="F27" s="50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9" t="s">
        <v>230</v>
      </c>
      <c r="C29" s="50"/>
      <c r="D29" s="50"/>
      <c r="E29" s="50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-4392573.4598240256</v>
      </c>
      <c r="F30" s="11" t="s">
        <v>3</v>
      </c>
      <c r="G30" s="1"/>
    </row>
    <row r="31" spans="1:7" x14ac:dyDescent="0.45">
      <c r="A31" s="1"/>
      <c r="B31" s="49" t="s">
        <v>232</v>
      </c>
      <c r="C31" s="50"/>
      <c r="D31" s="50"/>
      <c r="E31" s="50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311589.71689217817</v>
      </c>
      <c r="F32" s="11" t="s">
        <v>3</v>
      </c>
      <c r="G32" s="1"/>
    </row>
    <row r="33" spans="1:7" x14ac:dyDescent="0.45">
      <c r="A33" s="1"/>
      <c r="B33" s="49" t="s">
        <v>24</v>
      </c>
      <c r="C33" s="50"/>
      <c r="D33" s="50"/>
      <c r="E33" s="12">
        <f>SUM(E30,E26,E28,E22,E20,E32)</f>
        <v>66967734.241319053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sxmW7raRvB/oIRPAeOeqtJY7mIkZ9AJygVHjXCcjNTGx3GFH2LtPAnihB32fX/6qyMkdsKlCGFXr8iS7UKwQXg==" saltValue="bwU+e9X76yT+mNIcRc25w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14254145.969515087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285082.91939030174</v>
      </c>
      <c r="H6" s="14" t="s">
        <v>3</v>
      </c>
      <c r="I6" s="1"/>
    </row>
    <row r="7" spans="1:9" x14ac:dyDescent="0.45">
      <c r="A7" s="1"/>
      <c r="B7" s="49"/>
      <c r="C7" s="50"/>
      <c r="D7" s="50"/>
      <c r="E7" s="50"/>
      <c r="F7" s="50"/>
      <c r="G7" s="50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14146470.150861369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282929.40301722742</v>
      </c>
      <c r="H12" s="14" t="s">
        <v>3</v>
      </c>
      <c r="I12" s="1"/>
    </row>
    <row r="13" spans="1:9" x14ac:dyDescent="0.45">
      <c r="A13" s="1"/>
      <c r="B13" s="49"/>
      <c r="C13" s="50"/>
      <c r="D13" s="50"/>
      <c r="E13" s="50"/>
      <c r="F13" s="50"/>
      <c r="G13" s="50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14097834.586482707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492108.9162263113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1517724.3475401697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322153.35700498376</v>
      </c>
      <c r="H19" s="14" t="s">
        <v>3</v>
      </c>
      <c r="I19" s="1"/>
    </row>
    <row r="20" spans="1:9" x14ac:dyDescent="0.45">
      <c r="A20" s="1"/>
      <c r="B20" s="49"/>
      <c r="C20" s="50"/>
      <c r="D20" s="50"/>
      <c r="E20" s="50"/>
      <c r="F20" s="50"/>
      <c r="G20" s="50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16052289.688180031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113724.74276757002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323320.28861895204</v>
      </c>
      <c r="H25" s="14" t="s">
        <v>3</v>
      </c>
      <c r="I25" s="1"/>
    </row>
    <row r="26" spans="1:9" x14ac:dyDescent="0.45">
      <c r="A26" s="1"/>
      <c r="B26" s="49"/>
      <c r="C26" s="50"/>
      <c r="D26" s="50"/>
      <c r="E26" s="50"/>
      <c r="F26" s="50"/>
      <c r="G26" s="50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16035975.010865059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24726.461704559999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321214.02945139236</v>
      </c>
      <c r="H31" s="14" t="s">
        <v>3</v>
      </c>
      <c r="I31" s="1"/>
    </row>
    <row r="32" spans="1:9" x14ac:dyDescent="0.45">
      <c r="A32" s="1"/>
      <c r="B32" s="49"/>
      <c r="C32" s="50"/>
      <c r="D32" s="50"/>
      <c r="E32" s="50"/>
      <c r="F32" s="50"/>
      <c r="G32" s="50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15931509.189924268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318630.18379848538</v>
      </c>
      <c r="H37" s="14" t="s">
        <v>3</v>
      </c>
      <c r="I37" s="1"/>
    </row>
    <row r="38" spans="1:9" x14ac:dyDescent="0.45">
      <c r="A38" s="1"/>
      <c r="B38" s="49"/>
      <c r="C38" s="50"/>
      <c r="D38" s="50"/>
      <c r="E38" s="50"/>
      <c r="F38" s="50"/>
      <c r="G38" s="50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15803356.130000519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316067.12260001036</v>
      </c>
      <c r="H43" s="14" t="s">
        <v>3</v>
      </c>
      <c r="I43" s="1"/>
    </row>
    <row r="44" spans="1:9" x14ac:dyDescent="0.45">
      <c r="A44" s="1"/>
      <c r="B44" s="49"/>
      <c r="C44" s="50"/>
      <c r="D44" s="50"/>
      <c r="E44" s="50"/>
      <c r="F44" s="50"/>
      <c r="G44" s="50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15676233.933290794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313524.67866581591</v>
      </c>
      <c r="H49" s="14" t="s">
        <v>3</v>
      </c>
      <c r="I49" s="1"/>
    </row>
    <row r="50" spans="1:9" x14ac:dyDescent="0.45">
      <c r="A50" s="1"/>
      <c r="B50" s="49"/>
      <c r="C50" s="50"/>
      <c r="D50" s="50"/>
      <c r="E50" s="50"/>
      <c r="F50" s="50"/>
      <c r="G50" s="50"/>
      <c r="H50" s="20"/>
      <c r="I50" s="1"/>
    </row>
  </sheetData>
  <sheetProtection algorithmName="SHA-512" hashValue="p6p9oIO8j26yFDBgsRcG3wmF4O3v9Zxjdh9lvOI4bKG6RGj2H9gGqniCGn47dHV6Fg53g2eScwtiRE6WZ7IdGA==" saltValue="jA/5Dv2CVppJRo13eJeiu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31631792.64663896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287849.31308441452</v>
      </c>
      <c r="H6" s="14" t="s">
        <v>3</v>
      </c>
      <c r="I6" s="1"/>
    </row>
    <row r="7" spans="1:9" x14ac:dyDescent="0.45">
      <c r="A7" s="1"/>
      <c r="B7" s="49"/>
      <c r="C7" s="50"/>
      <c r="D7" s="50"/>
      <c r="E7" s="50"/>
      <c r="F7" s="50"/>
      <c r="G7" s="50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31742011.413890686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288852.30386640527</v>
      </c>
      <c r="H12" s="14" t="s">
        <v>3</v>
      </c>
      <c r="I12" s="1"/>
    </row>
    <row r="13" spans="1:9" x14ac:dyDescent="0.45">
      <c r="A13" s="1"/>
      <c r="B13" s="49"/>
      <c r="C13" s="50"/>
      <c r="D13" s="50"/>
      <c r="E13" s="50"/>
      <c r="F13" s="50"/>
      <c r="G13" s="50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31984717.498983689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-60756.635395229518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946830.50031380984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285975.88486594975</v>
      </c>
      <c r="H19" s="14" t="s">
        <v>3</v>
      </c>
      <c r="I19" s="1"/>
    </row>
    <row r="20" spans="1:9" x14ac:dyDescent="0.45">
      <c r="A20" s="1"/>
      <c r="B20" s="49"/>
      <c r="C20" s="50"/>
      <c r="D20" s="50"/>
      <c r="E20" s="50"/>
      <c r="F20" s="50"/>
      <c r="G20" s="50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33135498.860632032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495578.49653654109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302353.2693891364</v>
      </c>
      <c r="H25" s="14" t="s">
        <v>3</v>
      </c>
      <c r="I25" s="1"/>
    </row>
    <row r="26" spans="1:9" x14ac:dyDescent="0.45">
      <c r="A26" s="1"/>
      <c r="B26" s="49"/>
      <c r="C26" s="50"/>
      <c r="D26" s="50"/>
      <c r="E26" s="50"/>
      <c r="F26" s="50"/>
      <c r="G26" s="50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33735334.521650344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67043.402443079991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929565.39291256922</v>
      </c>
      <c r="H31" s="14" t="s">
        <v>3</v>
      </c>
      <c r="I31" s="1"/>
    </row>
    <row r="32" spans="1:9" x14ac:dyDescent="0.45">
      <c r="A32" s="1"/>
      <c r="B32" s="49"/>
      <c r="C32" s="50"/>
      <c r="D32" s="50"/>
      <c r="E32" s="50"/>
      <c r="F32" s="50"/>
      <c r="G32" s="50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33273860.844061259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915031.17321168468</v>
      </c>
      <c r="H37" s="14" t="s">
        <v>3</v>
      </c>
      <c r="I37" s="1"/>
    </row>
    <row r="38" spans="1:9" x14ac:dyDescent="0.45">
      <c r="A38" s="1"/>
      <c r="B38" s="49"/>
      <c r="C38" s="50"/>
      <c r="D38" s="50"/>
      <c r="E38" s="50"/>
      <c r="F38" s="50"/>
      <c r="G38" s="50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32753607.392833937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900724.20330293325</v>
      </c>
      <c r="H43" s="14" t="s">
        <v>3</v>
      </c>
      <c r="I43" s="1"/>
    </row>
    <row r="44" spans="1:9" x14ac:dyDescent="0.45">
      <c r="A44" s="1"/>
      <c r="B44" s="49"/>
      <c r="C44" s="50"/>
      <c r="D44" s="50"/>
      <c r="E44" s="50"/>
      <c r="F44" s="50"/>
      <c r="G44" s="50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32241488.36444328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886640.93002219021</v>
      </c>
      <c r="H49" s="14" t="s">
        <v>3</v>
      </c>
      <c r="I49" s="1"/>
    </row>
    <row r="50" spans="1:9" x14ac:dyDescent="0.45">
      <c r="A50" s="1"/>
      <c r="B50" s="49"/>
      <c r="C50" s="50"/>
      <c r="D50" s="50"/>
      <c r="E50" s="50"/>
      <c r="F50" s="50"/>
      <c r="G50" s="50"/>
      <c r="H50" s="20"/>
      <c r="I50" s="1"/>
    </row>
  </sheetData>
  <sheetProtection algorithmName="SHA-512" hashValue="5uMXvir9OwTudscgYviP/CdFWrcKE4ObM3c0zCoAxsMxhhsUWIG0Bj0Kj4MHxTdORtI72veON4d6rl5kPFfAyA==" saltValue="34Sjo71+8Fr+zCmumTXB9Q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1.6003660562819523E-2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1.16456804426867E-2</v>
      </c>
      <c r="H10" s="14"/>
      <c r="I10" s="1"/>
    </row>
    <row r="11" spans="1:9" x14ac:dyDescent="0.45">
      <c r="A11" s="1"/>
      <c r="B11" s="49"/>
      <c r="C11" s="50"/>
      <c r="D11" s="50"/>
      <c r="E11" s="50"/>
      <c r="F11" s="50"/>
      <c r="G11" s="50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XdJm4bnzcMMPWHuBsQaq2VHu4RWAPB723nw85HmwakoyCVgZixUU0y1KCIAScWrZbA0zJbMlcnZy6v7nF/jiQ==" saltValue="/44QQc/EB3pQuJIgBxkHO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2020-10-20T08:13:06Z</dcterms:modified>
</cp:coreProperties>
</file>