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illund Drikkevand AS (V020)\ØR2023\"/>
    </mc:Choice>
  </mc:AlternateContent>
  <bookViews>
    <workbookView xWindow="3105"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<sst xmlns="http://schemas.openxmlformats.org/spreadsheetml/2006/main" count="324" uniqueCount="155">
  <si>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</si>
  <si>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</si>
  <si>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</si>
  <si>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</si>
  <si>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</si>
  <si>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</si>
  <si>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</si>
  <si>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</si>
  <si>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</si>
  <si>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</si>
  <si>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</si>
  <si>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</si>
  <si>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</si>
  <si>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</si>
  <si>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</si>
  <si>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</si>
  <si>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</si>
  <si>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</si>
  <si>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</si>
  <si>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</si>
  <si>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</si>
  <si>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</si>
  <si>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</si>
  <si>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</si>
  <si>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</si>
  <si>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</si>
  <si>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</si>
  <si>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</si>
  <si>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</si>
  <si>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</si>
  <si>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</si>
  <si>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</si>
  <si>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</si>
  <si>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</si>
  <si>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</si>
  <si>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</si>
  <si>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</si>
  <si>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</si>
  <si>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</si>
  <si>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</si>
  <si>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</si>
  <si>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</si>
  <si>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</si>
  <si>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</si>
  <si>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</si>
  <si>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</si>
  <si>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</si>
  <si>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</si>
  <si>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</si>
  <si>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</si>
  <si>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</si>
  <si>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</si>
  <si>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</si>
  <si>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</si>
  <si>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</si>
  <si>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</si>
  <si>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</si>
  <si>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</si>
  <si>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</si>
  <si>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</si>
  <si>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</si>
  <si>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</si>
  <si>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</si>
  <si>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</si>
  <si>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</si>
  <si>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</si>
  <si>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</si>
  <si>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</si>
  <si>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</si>
  <si>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</si>
  <si>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</si>
  <si>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</si>
  <si>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</si>
  <si>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</si>
  <si>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</si>
  <si>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</si>
  <si>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</si>
  <si>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</si>
  <si>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</si>
  <si>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</si>
  <si>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</si>
  <si>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</si>
  <si>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</si>
  <si>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</si>
  <si>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</si>
  <si>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</si>
  <si>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</si>
  <si>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</si>
  <si>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</si>
  <si>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</si>
  <si>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</si>
  <si>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</si>
  <si>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</si>
  <si>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</si>
  <si>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</si>
  <si>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</si>
  <si>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</si>
  <si>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</si>
  <si>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</si>
  <si>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</si>
  <si>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</si>
  <si>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</si>
  <si>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</si>
  <si>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</si>
  <si>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</si>
  <si>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</si>
  <si>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</si>
  <si>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</si>
  <si>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</si>
  <si>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</si>
  <si>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</si>
  <si>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</si>
  <si>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</si>
  <si>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</si>
  <si>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</si>
  <si>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</si>
  <si>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</si>
  <si>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</si>
  <si>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</si>
  <si>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</si>
  <si>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</si>
  <si>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</si>
  <si>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</si>
  <si>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</si>
  <si>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</si>
  <si>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</si>
  <si>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</si>
  <si>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Korrigeret over/underdækning i 2020</t>
  </si>
  <si>
    <t>Indregnet fradrag i økonomisk ramme for 2024</t>
  </si>
  <si>
    <t>Faktiske indtægter i 2021</t>
  </si>
  <si>
    <t>Til indregning i de økonomiske rammer for 2023-2024</t>
  </si>
  <si>
    <t>Afgift for ledningsført vand</t>
  </si>
  <si>
    <t>Afgift til Forsyningssekretariatet</t>
  </si>
  <si>
    <t>Køb af ydelser og produkter fra andre vandselskaber reguleret af vandsektorloven</t>
  </si>
  <si>
    <t>Ejendomsskat</t>
  </si>
  <si>
    <t>Anlægsprojekter igangsat senest 1. marts 2016</t>
  </si>
  <si>
    <t>Ingen tilknyttet virksomhed under hovedvirksomheden</t>
  </si>
  <si>
    <t>Ingen bortfald eller nedsættelse</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</si>
  <si>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</si>
  <si>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</si>
  <si>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</si>
  <si>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</si>
  <si>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</si>
  <si>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</si>
  <si>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</si>
  <si>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</si>
  <si>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</si>
  <si>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</si>
  <si>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Økonomisk ramme for 2022</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</si>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</sst>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8" fillId="7" borderId="2" xfId="0" applyFont="1" applyFill="1" applyBorder="1" applyAlignment="1" applyProtection="1">
      <alignment wrapText="1"/>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28515625" defaultRowHeight="15" x14ac:dyDescent="0.25"/>
  <cols>
    <col min="1" max="1" width="9" style="2" customWidth="1"/>
    <col min="2" max="2" width="5.7109375" style="2" customWidth="1"/>
    <col min="3" max="4" width="9.28515625" style="2"/>
    <col min="5" max="5" width="11.7109375" style="2" customWidth="1"/>
    <col min="6" max="6" width="11.5703125" style="2" customWidth="1"/>
    <col min="7" max="8" width="9.28515625" style="2"/>
    <col min="9" max="9" width="9" style="2" customWidth="1"/>
    <col min="10" max="16384" width="9.28515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154</v>
      </c>
      <c r="D21" s="80" t="s">
        <v>108</v>
      </c>
      <c r="E21" s="81"/>
      <c r="F21" s="81"/>
      <c r="G21" s="82"/>
      <c r="H21" s="1"/>
      <c r="I21" s="1"/>
    </row>
    <row r="22" spans="1:9" x14ac:dyDescent="0.25">
      <c r="A22" s="1"/>
      <c r="B22" s="1"/>
      <c r="C22" s="6" t="s">
        <v>120</v>
      </c>
      <c r="D22" s="80" t="s">
        <v>35</v>
      </c>
      <c r="E22" s="81"/>
      <c r="F22" s="81"/>
      <c r="G22" s="82"/>
      <c r="H22" s="1"/>
      <c r="I22" s="1"/>
    </row>
    <row r="23" spans="1:9" x14ac:dyDescent="0.25">
      <c r="A23" s="1"/>
      <c r="B23" s="1"/>
      <c r="C23" s="6" t="s">
        <v>121</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122</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XVxsXc+GVYz9yd6b9AQ+UvI1J0Aw9WDJyiDnzrSRiGzw8vbtcXTI0W4lmRjMPVbX2yx5IJ+MoBHMkk2E4fAfg==" saltValue="1sboo58RkcbsnKYVbrsAM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28515625" defaultRowHeight="15" x14ac:dyDescent="0.25"/>
  <cols>
    <col min="1" max="1" width="3.5703125" style="2" customWidth="1"/>
    <col min="2" max="2" width="22.71093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28515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8" t="s">
        <v>0</v>
      </c>
      <c r="C9" s="16" t="s">
        <v>1</v>
      </c>
      <c r="D9" s="128" t="s">
        <v>111</v>
      </c>
      <c r="E9" s="129"/>
      <c r="F9" s="128" t="s">
        <v>2</v>
      </c>
      <c r="G9" s="129"/>
      <c r="H9" s="128" t="s">
        <v>112</v>
      </c>
      <c r="I9" s="129"/>
      <c r="J9" s="128" t="s">
        <v>23</v>
      </c>
      <c r="K9" s="129"/>
      <c r="L9" s="1"/>
    </row>
    <row r="10" spans="1:12" x14ac:dyDescent="0.25">
      <c r="A10" s="1"/>
      <c r="B10" s="55" t="s">
        <v>147</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GYjjwQ+o1NTNtxXHkCRWD0JODHSm7CJyp5M4pMbtWVFglIna8VJ+otf/HA5qWbefOSfR3GoxoTiJisUQvs63Uw==" saltValue="K8SxUa9Xe1GPm5P5ZzIK+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50"/>
  <sheetViews>
    <sheetView showGridLines="0" view="pageLayout" zoomScaleNormal="100" workbookViewId="0"/>
  </sheetViews>
  <sheetFormatPr defaultColWidth="9.28515625" defaultRowHeight="15" x14ac:dyDescent="0.25"/>
  <cols>
    <col min="1" max="1" width="5.28515625" style="2" customWidth="1"/>
    <col min="2" max="2" width="34.42578125" style="2" customWidth="1"/>
    <col min="3" max="3" width="16.28515625" style="2" customWidth="1"/>
    <col min="4" max="4" width="3.28515625" style="2" customWidth="1"/>
    <col min="5" max="5" width="19.28515625" style="2" customWidth="1"/>
    <col min="6" max="6" width="3.28515625" style="2" customWidth="1"/>
    <col min="7" max="7" width="5.2851562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1" t="s">
        <v>15</v>
      </c>
      <c r="C9" s="61" t="s">
        <v>10</v>
      </c>
      <c r="D9" s="62"/>
      <c r="E9" s="61" t="s">
        <v>24</v>
      </c>
      <c r="F9" s="71"/>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t="s">
        <v>138</v>
      </c>
      <c r="C11" s="19">
        <v>38657</v>
      </c>
      <c r="D11" s="12" t="s">
        <v>3</v>
      </c>
      <c r="E11" s="8">
        <v>5059</v>
      </c>
      <c r="F11" s="12" t="s">
        <v>3</v>
      </c>
      <c r="G11" s="1"/>
    </row>
    <row r="12" spans="1:7" x14ac:dyDescent="0.25">
      <c r="A12" s="1"/>
      <c r="B12" s="72" t="s">
        <v>67</v>
      </c>
      <c r="C12" s="10">
        <f>SUM(C10:C11)</f>
        <v>38657</v>
      </c>
      <c r="D12" s="11" t="s">
        <v>3</v>
      </c>
      <c r="E12" s="10">
        <f>SUM(E10:E11)</f>
        <v>5059</v>
      </c>
      <c r="F12" s="11" t="s">
        <v>3</v>
      </c>
      <c r="G12" s="1"/>
    </row>
    <row r="13" spans="1:7" x14ac:dyDescent="0.25">
      <c r="A13" s="1"/>
      <c r="B13" s="72" t="s">
        <v>98</v>
      </c>
      <c r="C13" s="10">
        <f>C12*(1+'Fane 11. Nøgletal'!C15)</f>
        <v>40033.189200000001</v>
      </c>
      <c r="D13" s="11" t="s">
        <v>3</v>
      </c>
      <c r="E13" s="10">
        <f>E12*(1+'Fane 11. Nøgletal'!C15)</f>
        <v>5239.1004000000003</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mW9kQIXCxWAd4fhBWgFjACYQ1DoDFe3U20tibtArNiflHBvC+dYKIdTn9V9BgVa4MNIZw6hOiow89rojWJ3Hg==" saltValue="IQ6zK6gdZH+DQAq3djmpm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50"/>
  <sheetViews>
    <sheetView showGridLines="0" view="pageLayout" zoomScaleNormal="100" workbookViewId="0"/>
  </sheetViews>
  <sheetFormatPr defaultColWidth="9.28515625" defaultRowHeight="15" x14ac:dyDescent="0.25"/>
  <cols>
    <col min="1" max="1" width="5.28515625" style="2" customWidth="1"/>
    <col min="2" max="2" width="34.42578125" style="2" customWidth="1"/>
    <col min="3" max="3" width="16.28515625" style="2" customWidth="1"/>
    <col min="4" max="4" width="3.28515625" style="2" customWidth="1"/>
    <col min="5" max="5" width="19.28515625" style="2" customWidth="1"/>
    <col min="6" max="6" width="3.28515625" style="2" customWidth="1"/>
    <col min="7" max="7" width="5.2851562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1" t="s">
        <v>15</v>
      </c>
      <c r="C8" s="61" t="s">
        <v>10</v>
      </c>
      <c r="D8" s="62"/>
      <c r="E8" s="61" t="s">
        <v>24</v>
      </c>
      <c r="F8" s="71"/>
      <c r="G8" s="1"/>
    </row>
    <row r="9" spans="1:7" x14ac:dyDescent="0.25">
      <c r="A9" s="1"/>
      <c r="B9" s="20" t="s">
        <v>149</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30"/>
      <c r="C20" s="130"/>
      <c r="D20" s="130"/>
      <c r="E20" s="130"/>
      <c r="F20" s="130"/>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0"/>
      <c r="C27" s="130"/>
      <c r="D27" s="130"/>
      <c r="E27" s="130"/>
      <c r="F27" s="130"/>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jNJ3ZSkL7G9wo+MvfnNO2ixkF0ch8c/74ZZJwP2Ox03SqoQ6zA4Kp4wMOndFvvOd9gauYgQhmbgr1JK5hiC/g==" saltValue="f16lnT47mEM5NQh9F2M4C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8"/>
  <sheetViews>
    <sheetView showGridLines="0" view="pageLayout" zoomScaleNormal="100" workbookViewId="0"/>
  </sheetViews>
  <sheetFormatPr defaultColWidth="9.28515625" defaultRowHeight="15" x14ac:dyDescent="0.25"/>
  <cols>
    <col min="1" max="1" width="5.42578125" style="2" customWidth="1"/>
    <col min="2" max="2" width="41.28515625" style="2" bestFit="1" customWidth="1"/>
    <col min="3" max="3" width="13.42578125" style="2" customWidth="1"/>
    <col min="4" max="4" width="3.28515625" style="2" customWidth="1"/>
    <col min="5" max="5" width="14.42578125" style="2" customWidth="1"/>
    <col min="6" max="6" width="3.28515625" style="2" customWidth="1"/>
    <col min="7" max="7" width="5.710937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0" t="s">
        <v>61</v>
      </c>
      <c r="C9" s="131" t="s">
        <v>10</v>
      </c>
      <c r="D9" s="132"/>
      <c r="E9" s="131" t="s">
        <v>24</v>
      </c>
      <c r="F9" s="132"/>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DFZe4hP8eBUMqrzriE7Yzcur9N7rmqBUQ0/hgVg2+CeAHbT2HT6O6WbkTlVrpYMPEIRGCiWhxGPeaHA1INCjeA==" saltValue="8MEBRlZeTbAYwCgwhmguf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28515625" defaultRowHeight="15" x14ac:dyDescent="0.25"/>
  <cols>
    <col min="1" max="1" width="5.28515625" style="2" customWidth="1"/>
    <col min="2" max="2" width="36.42578125" style="2" customWidth="1"/>
    <col min="3" max="3" width="15.85546875" style="2" customWidth="1"/>
    <col min="4" max="4" width="3.28515625" style="2" customWidth="1"/>
    <col min="5" max="5" width="15.85546875" style="2" customWidth="1"/>
    <col min="6" max="6" width="3.28515625" style="2" customWidth="1"/>
    <col min="7" max="7" width="5.2851562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customHeight="1" x14ac:dyDescent="0.25">
      <c r="A10" s="1"/>
      <c r="B10" s="70" t="s">
        <v>16</v>
      </c>
      <c r="C10" s="104" t="s">
        <v>10</v>
      </c>
      <c r="D10" s="106"/>
      <c r="E10" s="104" t="s">
        <v>24</v>
      </c>
      <c r="F10" s="106"/>
      <c r="G10" s="1"/>
    </row>
    <row r="11" spans="1:7" x14ac:dyDescent="0.25">
      <c r="A11" s="1"/>
      <c r="B11" s="20" t="s">
        <v>137</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30"/>
      <c r="C21" s="130"/>
      <c r="D21" s="130"/>
      <c r="E21" s="130"/>
      <c r="F21" s="130"/>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30"/>
      <c r="C27" s="130"/>
      <c r="D27" s="130"/>
      <c r="E27" s="130"/>
      <c r="F27" s="130"/>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QLrW8T/cwpZbyeuRY69DaMtZYXyJv+5+px9QgbQ8kSyvE+Hz+ILY/3gh/qtmc47q9hHN72QbbgnKRM0I1vxkQ==" saltValue="NfXxSXmS4S/IMCFQAej/w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7">
    <mergeCell ref="B27:F27"/>
    <mergeCell ref="B3:F4"/>
    <mergeCell ref="B9:F9"/>
    <mergeCell ref="B15:F15"/>
    <mergeCell ref="B21:F21"/>
    <mergeCell ref="E10:F10"/>
    <mergeCell ref="C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28515625" defaultRowHeight="15" x14ac:dyDescent="0.25"/>
  <cols>
    <col min="1" max="1" width="11.28515625" style="2" customWidth="1"/>
    <col min="2" max="2" width="55.7109375" style="2" customWidth="1"/>
    <col min="3" max="3" width="6.28515625" style="2" customWidth="1"/>
    <col min="4" max="4" width="12.28515625" style="2" customWidth="1"/>
    <col min="5" max="16384" width="9.28515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12hP+X4uzvX+OBdIwS+5lIoiF4c2iYwiGIa3m3IrQyBmhvq2FQ5k32OnoS3cdoBd+Xn+Ft/aFCWn6owal94wg==" saltValue="H/KQmcZEpei+HTk7b/er6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9.7109375" style="2" customWidth="1"/>
    <col min="2" max="2" width="50.5703125" style="2" customWidth="1"/>
    <col min="3" max="3" width="9.28515625" style="2" hidden="1" customWidth="1"/>
    <col min="4" max="4" width="27.28515625" style="2" hidden="1" customWidth="1"/>
    <col min="5" max="5" width="13.5703125" style="2" customWidth="1"/>
    <col min="6" max="6" width="2.85546875" style="2" customWidth="1"/>
    <col min="7" max="7" width="9.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12</v>
      </c>
      <c r="C8" s="56"/>
      <c r="D8" s="56"/>
      <c r="E8" s="56"/>
      <c r="F8" s="56"/>
      <c r="G8" s="1"/>
    </row>
    <row r="9" spans="1:7" x14ac:dyDescent="0.25">
      <c r="A9" s="1"/>
      <c r="B9" s="53" t="s">
        <v>55</v>
      </c>
      <c r="C9" s="53"/>
      <c r="D9" s="53"/>
      <c r="E9" s="7">
        <f>'Fane 3. Omkostninger i ØR2022'!E16</f>
        <v>7928532.2924864804</v>
      </c>
      <c r="F9" s="53" t="s">
        <v>3</v>
      </c>
      <c r="G9" s="1"/>
    </row>
    <row r="10" spans="1:7" ht="17.100000000000001" customHeight="1" x14ac:dyDescent="0.25">
      <c r="A10" s="1"/>
      <c r="B10" s="24" t="s">
        <v>50</v>
      </c>
      <c r="C10" s="53"/>
      <c r="D10" s="53"/>
      <c r="E10" s="7">
        <f>'Fane 8.1. Varige tillæg'!C13+'Fane 8.1. Varige tillæg'!E13</f>
        <v>45272.289600000004</v>
      </c>
      <c r="F10" s="53" t="s">
        <v>3</v>
      </c>
      <c r="G10" s="1"/>
    </row>
    <row r="11" spans="1:7" ht="17.100000000000001" customHeight="1" x14ac:dyDescent="0.25">
      <c r="A11" s="1"/>
      <c r="B11" s="24" t="s">
        <v>52</v>
      </c>
      <c r="C11" s="53"/>
      <c r="D11" s="53"/>
      <c r="E11" s="8">
        <f>-('Fane 10. Bortfald'!C13+'Fane 10. Bortfald'!E13)</f>
        <v>0</v>
      </c>
      <c r="F11" s="53" t="s">
        <v>3</v>
      </c>
      <c r="G11" s="1"/>
    </row>
    <row r="12" spans="1:7" ht="17.100000000000001" customHeight="1" x14ac:dyDescent="0.25">
      <c r="A12" s="1"/>
      <c r="B12" s="24" t="s">
        <v>54</v>
      </c>
      <c r="C12" s="53"/>
      <c r="D12" s="53"/>
      <c r="E12" s="8">
        <f>'Fane 9. Tilknyttet virksomhed'!C12+'Fane 9. Tilknyttet virksomhed'!E12</f>
        <v>0</v>
      </c>
      <c r="F12" s="53" t="s">
        <v>3</v>
      </c>
      <c r="G12" s="1"/>
    </row>
    <row r="13" spans="1:7" ht="17.100000000000001" customHeight="1" x14ac:dyDescent="0.25">
      <c r="A13" s="1"/>
      <c r="B13" s="24" t="s">
        <v>17</v>
      </c>
      <c r="C13" s="53"/>
      <c r="D13" s="53"/>
      <c r="E13" s="8">
        <f>SUM(E9:E12)*'Fane 11. Nøgletal'!C15</f>
        <v>283867.44312227867</v>
      </c>
      <c r="F13" s="53" t="s">
        <v>3</v>
      </c>
      <c r="G13" s="1"/>
    </row>
    <row r="14" spans="1:7" ht="17.100000000000001" customHeight="1" x14ac:dyDescent="0.25">
      <c r="A14" s="1"/>
      <c r="B14" s="24" t="s">
        <v>44</v>
      </c>
      <c r="C14" s="53"/>
      <c r="D14" s="53"/>
      <c r="E14" s="8">
        <f>-SUM(E9,E10:E13)*'Fane 11. Nøgletal'!C20</f>
        <v>-140380.42442854893</v>
      </c>
      <c r="F14" s="53" t="s">
        <v>3</v>
      </c>
      <c r="G14" s="1"/>
    </row>
    <row r="15" spans="1:7" ht="15" customHeight="1" x14ac:dyDescent="0.25">
      <c r="A15" s="1"/>
      <c r="B15" s="66" t="s">
        <v>19</v>
      </c>
      <c r="C15" s="28"/>
      <c r="D15" s="28"/>
      <c r="E15" s="9">
        <f>SUM(E9,E10:E14)</f>
        <v>8117291.6007802105</v>
      </c>
      <c r="F15" s="57" t="s">
        <v>3</v>
      </c>
      <c r="G15" s="1"/>
    </row>
    <row r="16" spans="1:7" ht="15" customHeight="1" x14ac:dyDescent="0.25">
      <c r="A16" s="1"/>
      <c r="B16" s="56" t="s">
        <v>11</v>
      </c>
      <c r="C16" s="56"/>
      <c r="D16" s="56"/>
      <c r="E16" s="56"/>
      <c r="F16" s="56"/>
      <c r="G16" s="1"/>
    </row>
    <row r="17" spans="1:7" ht="15" customHeight="1" x14ac:dyDescent="0.25">
      <c r="A17" s="1"/>
      <c r="B17" s="57" t="s">
        <v>11</v>
      </c>
      <c r="C17" s="57"/>
      <c r="D17" s="57"/>
      <c r="E17" s="9">
        <f>'Fane 4. Ikke-påvirkelige omk.'!C15</f>
        <v>4084170.2003520005</v>
      </c>
      <c r="F17" s="57" t="s">
        <v>3</v>
      </c>
      <c r="G17" s="1"/>
    </row>
    <row r="18" spans="1:7" ht="15" customHeight="1" x14ac:dyDescent="0.25">
      <c r="A18" s="1"/>
      <c r="B18" s="56" t="s">
        <v>36</v>
      </c>
      <c r="C18" s="56"/>
      <c r="D18" s="56"/>
      <c r="E18" s="56"/>
      <c r="F18" s="56"/>
      <c r="G18" s="1"/>
    </row>
    <row r="19" spans="1:7" ht="15" customHeight="1" x14ac:dyDescent="0.25">
      <c r="A19" s="1"/>
      <c r="B19" s="24" t="s">
        <v>33</v>
      </c>
      <c r="C19" s="53"/>
      <c r="D19" s="53"/>
      <c r="E19" s="8">
        <f>'Fane 8.2. Engangstillæg'!C11</f>
        <v>0</v>
      </c>
      <c r="F19" s="53" t="s">
        <v>3</v>
      </c>
      <c r="G19" s="1"/>
    </row>
    <row r="20" spans="1:7" x14ac:dyDescent="0.25">
      <c r="A20" s="1"/>
      <c r="B20" s="24" t="s">
        <v>34</v>
      </c>
      <c r="C20" s="53"/>
      <c r="D20" s="53"/>
      <c r="E20" s="8">
        <f>'Fane 8.2. Engangstillæg'!E11</f>
        <v>0</v>
      </c>
      <c r="F20" s="53" t="s">
        <v>3</v>
      </c>
      <c r="G20" s="1"/>
    </row>
    <row r="21" spans="1:7" x14ac:dyDescent="0.25">
      <c r="A21" s="1"/>
      <c r="B21" s="24" t="s">
        <v>106</v>
      </c>
      <c r="C21" s="53"/>
      <c r="D21" s="53"/>
      <c r="E21" s="8">
        <f>-SUM(E19:E20)*'Fane 11. Nøgletal'!C20</f>
        <v>0</v>
      </c>
      <c r="F21" s="53" t="s">
        <v>3</v>
      </c>
      <c r="G21" s="1"/>
    </row>
    <row r="22" spans="1:7" ht="15" customHeight="1" x14ac:dyDescent="0.25">
      <c r="A22" s="1"/>
      <c r="B22" s="66" t="s">
        <v>37</v>
      </c>
      <c r="C22" s="28"/>
      <c r="D22" s="28"/>
      <c r="E22" s="9">
        <f>SUM(E19:E21)</f>
        <v>0</v>
      </c>
      <c r="F22" s="57" t="s">
        <v>3</v>
      </c>
      <c r="G22" s="1"/>
    </row>
    <row r="23" spans="1:7" x14ac:dyDescent="0.25">
      <c r="A23" s="1"/>
      <c r="B23" s="56" t="s">
        <v>62</v>
      </c>
      <c r="C23" s="56"/>
      <c r="D23" s="56"/>
      <c r="E23" s="56"/>
      <c r="F23" s="56"/>
      <c r="G23" s="1"/>
    </row>
    <row r="24" spans="1:7" x14ac:dyDescent="0.25">
      <c r="A24" s="1"/>
      <c r="B24" s="66" t="s">
        <v>63</v>
      </c>
      <c r="C24" s="31"/>
      <c r="D24" s="31"/>
      <c r="E24" s="9">
        <f>'Fane 5. Kontrol af ØR2021'!E30</f>
        <v>-150691.20916492119</v>
      </c>
      <c r="F24" s="57" t="s">
        <v>3</v>
      </c>
      <c r="G24" s="1"/>
    </row>
    <row r="25" spans="1:7" x14ac:dyDescent="0.25">
      <c r="A25" s="1"/>
      <c r="B25" s="56" t="s">
        <v>75</v>
      </c>
      <c r="C25" s="56"/>
      <c r="D25" s="56"/>
      <c r="E25" s="56"/>
      <c r="F25" s="56"/>
      <c r="G25" s="1"/>
    </row>
    <row r="26" spans="1:7" x14ac:dyDescent="0.25">
      <c r="A26" s="1"/>
      <c r="B26" s="57" t="s">
        <v>76</v>
      </c>
      <c r="C26" s="57"/>
      <c r="D26" s="57"/>
      <c r="E26" s="9">
        <f>'Fane 6. Skattesagen'!G12</f>
        <v>0</v>
      </c>
      <c r="F26" s="57" t="s">
        <v>3</v>
      </c>
      <c r="G26" s="1"/>
    </row>
    <row r="27" spans="1:7" x14ac:dyDescent="0.25">
      <c r="A27" s="1"/>
      <c r="B27" s="56" t="s">
        <v>39</v>
      </c>
      <c r="C27" s="56"/>
      <c r="D27" s="56"/>
      <c r="E27" s="10">
        <f>SUM(E15:E17:E22:E24:E26)</f>
        <v>12050770.59196729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ejJe+cnSj0yQXk3VN1/GjYIXMUoKxM/0msxrZZEZ293DUHg7e+wj17W4Od4LPgcO5tXtOPCvLBZLd7+snhGzQ==" saltValue="fWQb593Q88BFY14AFP5qA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50"/>
  <sheetViews>
    <sheetView showGridLines="0" view="pageLayout" zoomScaleNormal="100" workbookViewId="0"/>
  </sheetViews>
  <sheetFormatPr defaultColWidth="9.28515625" defaultRowHeight="15" x14ac:dyDescent="0.25"/>
  <cols>
    <col min="1" max="1" width="5.28515625" style="2" customWidth="1"/>
    <col min="2" max="2" width="59.7109375" style="2" customWidth="1"/>
    <col min="3" max="3" width="0" style="2" hidden="1" customWidth="1"/>
    <col min="4" max="4" width="27" style="2" hidden="1" customWidth="1"/>
    <col min="5" max="5" width="10.28515625" style="2" customWidth="1"/>
    <col min="6" max="6" width="3.28515625" style="2" customWidth="1"/>
    <col min="7" max="7" width="8.710937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56</v>
      </c>
      <c r="C8" s="53"/>
      <c r="D8" s="53"/>
      <c r="E8" s="7">
        <f>'Fane 2.1. Økonomisk ramme 2023'!E15</f>
        <v>8117291.6007802105</v>
      </c>
      <c r="F8" s="53" t="s">
        <v>3</v>
      </c>
      <c r="G8" s="1"/>
    </row>
    <row r="9" spans="1:7" ht="15" customHeight="1" x14ac:dyDescent="0.25">
      <c r="A9" s="1"/>
      <c r="B9" s="54" t="s">
        <v>17</v>
      </c>
      <c r="C9" s="53"/>
      <c r="D9" s="53"/>
      <c r="E9" s="8">
        <f>SUM(E8:E8)*'Fane 11. Nøgletal'!C15</f>
        <v>288975.58098777547</v>
      </c>
      <c r="F9" s="53" t="s">
        <v>3</v>
      </c>
      <c r="G9" s="1"/>
    </row>
    <row r="10" spans="1:7" ht="15" customHeight="1" x14ac:dyDescent="0.25">
      <c r="A10" s="1"/>
      <c r="B10" s="54" t="s">
        <v>44</v>
      </c>
      <c r="C10" s="53"/>
      <c r="D10" s="53"/>
      <c r="E10" s="8">
        <f>-SUM(E8:E9)*'Fane 11. Nøgletal'!C20</f>
        <v>-142906.54209005577</v>
      </c>
      <c r="F10" s="53" t="s">
        <v>3</v>
      </c>
      <c r="G10" s="1"/>
    </row>
    <row r="11" spans="1:7" ht="15" customHeight="1" x14ac:dyDescent="0.25">
      <c r="A11" s="1"/>
      <c r="B11" s="28" t="s">
        <v>19</v>
      </c>
      <c r="C11" s="28"/>
      <c r="D11" s="28"/>
      <c r="E11" s="9">
        <f>SUM(E8:E10)</f>
        <v>8263360.6396779297</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f>
        <v>4229566.6594845317</v>
      </c>
      <c r="F13" s="57" t="s">
        <v>3</v>
      </c>
      <c r="G13" s="1"/>
    </row>
    <row r="14" spans="1:7" x14ac:dyDescent="0.25">
      <c r="A14" s="1"/>
      <c r="B14" s="56" t="s">
        <v>62</v>
      </c>
      <c r="C14" s="56"/>
      <c r="D14" s="56"/>
      <c r="E14" s="56"/>
      <c r="F14" s="56"/>
      <c r="G14" s="1"/>
    </row>
    <row r="15" spans="1:7" x14ac:dyDescent="0.25">
      <c r="A15" s="1"/>
      <c r="B15" s="57" t="s">
        <v>77</v>
      </c>
      <c r="C15" s="32"/>
      <c r="D15" s="32"/>
      <c r="E15" s="9">
        <f>'Fane 5. Kontrol af ØR2021'!E30</f>
        <v>-150691.20916492119</v>
      </c>
      <c r="F15" s="57" t="s">
        <v>3</v>
      </c>
      <c r="G15" s="1"/>
    </row>
    <row r="16" spans="1:7" x14ac:dyDescent="0.25">
      <c r="A16" s="1"/>
      <c r="B16" s="56" t="s">
        <v>75</v>
      </c>
      <c r="C16" s="56"/>
      <c r="D16" s="56"/>
      <c r="E16" s="56"/>
      <c r="F16" s="56"/>
      <c r="G16" s="1"/>
    </row>
    <row r="17" spans="1:7" x14ac:dyDescent="0.25">
      <c r="A17" s="1"/>
      <c r="B17" s="57" t="s">
        <v>76</v>
      </c>
      <c r="C17" s="57"/>
      <c r="D17" s="57"/>
      <c r="E17" s="9">
        <f>'Fane 6. Skattesagen'!G13</f>
        <v>0</v>
      </c>
      <c r="F17" s="57" t="s">
        <v>3</v>
      </c>
      <c r="G17" s="1"/>
    </row>
    <row r="18" spans="1:7" x14ac:dyDescent="0.25">
      <c r="A18" s="1"/>
      <c r="B18" s="56" t="s">
        <v>57</v>
      </c>
      <c r="C18" s="56"/>
      <c r="D18" s="56"/>
      <c r="E18" s="10">
        <f>SUM(E11,E13,E15,E17)</f>
        <v>12342236.089997541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H4+xOsoXkIovNPERbuInwkPuUzz9fpvZB6f5NIL8No2m4ySNlvpCC3dMBMAbdqyci24Nqql/01ypv2UP/oVnQ==" saltValue="VrSec30TDf0WtnWUHtx2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50"/>
  <sheetViews>
    <sheetView showGridLines="0" view="pageLayout" zoomScaleNormal="100" workbookViewId="0"/>
  </sheetViews>
  <sheetFormatPr defaultColWidth="9.28515625" defaultRowHeight="15" x14ac:dyDescent="0.25"/>
  <cols>
    <col min="1" max="1" width="5.28515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65</v>
      </c>
      <c r="C8" s="53"/>
      <c r="D8" s="53"/>
      <c r="E8" s="7">
        <f>'Fane 2.2. Økonomisk ramme 2024'!E11</f>
        <v>8263360.6396779297</v>
      </c>
      <c r="F8" s="53" t="s">
        <v>3</v>
      </c>
      <c r="G8" s="1"/>
    </row>
    <row r="9" spans="1:7" ht="15" customHeight="1" x14ac:dyDescent="0.25">
      <c r="A9" s="1"/>
      <c r="B9" s="54" t="s">
        <v>17</v>
      </c>
      <c r="C9" s="53"/>
      <c r="D9" s="53"/>
      <c r="E9" s="8">
        <f>SUM(E8:E8)*'Fane 11. Nøgletal'!C15</f>
        <v>294175.63877253432</v>
      </c>
      <c r="F9" s="53" t="s">
        <v>3</v>
      </c>
      <c r="G9" s="1"/>
    </row>
    <row r="10" spans="1:7" ht="15" customHeight="1" x14ac:dyDescent="0.25">
      <c r="A10" s="1"/>
      <c r="B10" s="54" t="s">
        <v>44</v>
      </c>
      <c r="C10" s="53"/>
      <c r="D10" s="53"/>
      <c r="E10" s="8">
        <f>-SUM(E8:E9)*'Fane 11. Nøgletal'!C20</f>
        <v>-145478.11673365792</v>
      </c>
      <c r="F10" s="53" t="s">
        <v>3</v>
      </c>
      <c r="G10" s="1"/>
    </row>
    <row r="11" spans="1:7" x14ac:dyDescent="0.25">
      <c r="A11" s="1"/>
      <c r="B11" s="28" t="s">
        <v>19</v>
      </c>
      <c r="C11" s="28"/>
      <c r="D11" s="28"/>
      <c r="E11" s="9">
        <f>SUM(E8:E10)</f>
        <v>8412058.1617168076</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Nøgletal'!C15)^2</f>
        <v>4380139.2325621815</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Skattesagen'!G14</f>
        <v>0</v>
      </c>
      <c r="F17" s="57" t="s">
        <v>3</v>
      </c>
      <c r="G17" s="1"/>
    </row>
    <row r="18" spans="1:7" x14ac:dyDescent="0.25">
      <c r="A18" s="1"/>
      <c r="B18" s="56" t="s">
        <v>66</v>
      </c>
      <c r="C18" s="56"/>
      <c r="D18" s="56"/>
      <c r="E18" s="10">
        <f>SUM(E11,E13,E15,E17)</f>
        <v>12792197.394278988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DLK/k0PULDZcnhj55X6X7JUAivkC2DHgJRWhlxD5rD4/Q9uDpKvdNrSk5bLWoRkWCVTmX2s75TZH3v/Z4s02Q==" saltValue="4G7yMbbItLFYwzSsq1nDC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50"/>
  <sheetViews>
    <sheetView showGridLines="0" view="pageLayout" zoomScaleNormal="100" workbookViewId="0"/>
  </sheetViews>
  <sheetFormatPr defaultColWidth="9.28515625" defaultRowHeight="15" x14ac:dyDescent="0.25"/>
  <cols>
    <col min="1" max="1" width="5.28515625" style="2" customWidth="1"/>
    <col min="2" max="2" width="51.7109375" style="2" customWidth="1"/>
    <col min="3" max="3" width="0" style="2" hidden="1" customWidth="1"/>
    <col min="4" max="4" width="27" style="2" hidden="1" customWidth="1"/>
    <col min="5" max="5" width="13.28515625" style="2" customWidth="1"/>
    <col min="6" max="6" width="3.7109375" style="2" customWidth="1"/>
    <col min="7" max="7" width="11"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86</v>
      </c>
      <c r="C8" s="53"/>
      <c r="D8" s="53"/>
      <c r="E8" s="7">
        <f>'Fane 2.3. Økonomisk ramme 2025'!E11</f>
        <v>8412058.1617168076</v>
      </c>
      <c r="F8" s="53" t="s">
        <v>3</v>
      </c>
      <c r="G8" s="1"/>
    </row>
    <row r="9" spans="1:7" ht="15" customHeight="1" x14ac:dyDescent="0.25">
      <c r="A9" s="1"/>
      <c r="B9" s="54" t="s">
        <v>17</v>
      </c>
      <c r="C9" s="53"/>
      <c r="D9" s="53"/>
      <c r="E9" s="8">
        <f>SUM(E8:E8)*'Fane 11. Nøgletal'!C15</f>
        <v>299469.27055711835</v>
      </c>
      <c r="F9" s="53" t="s">
        <v>3</v>
      </c>
      <c r="G9" s="1"/>
    </row>
    <row r="10" spans="1:7" ht="15" customHeight="1" x14ac:dyDescent="0.25">
      <c r="A10" s="1"/>
      <c r="B10" s="54" t="s">
        <v>44</v>
      </c>
      <c r="C10" s="53"/>
      <c r="D10" s="53"/>
      <c r="E10" s="8">
        <f>-SUM(E8:E9)*'Fane 11. Nøgletal'!C20</f>
        <v>-148095.96634865674</v>
      </c>
      <c r="F10" s="53" t="s">
        <v>3</v>
      </c>
      <c r="G10" s="1"/>
    </row>
    <row r="11" spans="1:7" x14ac:dyDescent="0.25">
      <c r="A11" s="1"/>
      <c r="B11" s="28" t="s">
        <v>19</v>
      </c>
      <c r="C11" s="28"/>
      <c r="D11" s="28"/>
      <c r="E11" s="9">
        <f>SUM(E8:E10)</f>
        <v>8563431.4659252688</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omk.'!C15*(1+'Fane 11. Nøgletal'!C15)^3</f>
        <v>4536072.1892413953</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Skattesagen'!G15</f>
        <v>0</v>
      </c>
      <c r="F17" s="57" t="s">
        <v>3</v>
      </c>
      <c r="G17" s="1"/>
    </row>
    <row r="18" spans="1:7" x14ac:dyDescent="0.25">
      <c r="A18" s="1"/>
      <c r="B18" s="56" t="s">
        <v>87</v>
      </c>
      <c r="C18" s="56"/>
      <c r="D18" s="56"/>
      <c r="E18" s="10">
        <f>SUM(E11,E13,E15,E17)</f>
        <v>13099503.655166663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m2/ISZuromvz4+Mut8/7Yk/GeIgC6XC7THBhY3HtXCv9WHXTeFN0wuMPwJ/0+q3ZqyMuIAj9TmEdoQp15l7sA==" saltValue="Io9PxBEF9ckik+5OBxMk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28515625" defaultRowHeight="15" x14ac:dyDescent="0.25"/>
  <cols>
    <col min="1" max="1" width="7.7109375" style="2" customWidth="1"/>
    <col min="2" max="3" width="9.28515625" style="2"/>
    <col min="4" max="4" width="39.7109375" style="2" customWidth="1"/>
    <col min="5" max="5" width="10" style="2" bestFit="1" customWidth="1"/>
    <col min="6" max="6" width="3.5703125" style="2" bestFit="1" customWidth="1"/>
    <col min="7" max="7" width="7.710937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89</v>
      </c>
      <c r="C8" s="56"/>
      <c r="D8" s="56"/>
      <c r="E8" s="56"/>
      <c r="F8" s="56"/>
      <c r="G8" s="1"/>
    </row>
    <row r="9" spans="1:7" x14ac:dyDescent="0.25">
      <c r="A9" s="1"/>
      <c r="B9" s="108" t="s">
        <v>22</v>
      </c>
      <c r="C9" s="108"/>
      <c r="D9" s="108"/>
      <c r="E9" s="7">
        <v>7956399.2446567435</v>
      </c>
      <c r="F9" s="53" t="s">
        <v>3</v>
      </c>
      <c r="G9" s="1"/>
    </row>
    <row r="10" spans="1:7" x14ac:dyDescent="0.25">
      <c r="A10" s="1"/>
      <c r="B10" s="109" t="s">
        <v>103</v>
      </c>
      <c r="C10" s="110"/>
      <c r="D10" s="111"/>
      <c r="E10" s="7">
        <v>0</v>
      </c>
      <c r="F10" s="53" t="s">
        <v>3</v>
      </c>
      <c r="G10" s="1"/>
    </row>
    <row r="11" spans="1:7" x14ac:dyDescent="0.25">
      <c r="A11" s="1"/>
      <c r="B11" s="94" t="s">
        <v>50</v>
      </c>
      <c r="C11" s="94"/>
      <c r="D11" s="94"/>
      <c r="E11" s="7">
        <v>12140.933300000001</v>
      </c>
      <c r="F11" s="53" t="s">
        <v>3</v>
      </c>
      <c r="G11" s="1"/>
    </row>
    <row r="12" spans="1:7" x14ac:dyDescent="0.25">
      <c r="A12" s="1"/>
      <c r="B12" s="94" t="s">
        <v>54</v>
      </c>
      <c r="C12" s="94"/>
      <c r="D12" s="94"/>
      <c r="E12" s="7">
        <v>0</v>
      </c>
      <c r="F12" s="53" t="s">
        <v>3</v>
      </c>
      <c r="G12" s="1"/>
    </row>
    <row r="13" spans="1:7" x14ac:dyDescent="0.25">
      <c r="A13" s="1"/>
      <c r="B13" s="94" t="s">
        <v>51</v>
      </c>
      <c r="C13" s="94"/>
      <c r="D13" s="94"/>
      <c r="E13" s="8">
        <v>0</v>
      </c>
      <c r="F13" s="53" t="s">
        <v>3</v>
      </c>
      <c r="G13" s="1"/>
    </row>
    <row r="14" spans="1:7" x14ac:dyDescent="0.25">
      <c r="A14" s="1"/>
      <c r="B14" s="94" t="s">
        <v>17</v>
      </c>
      <c r="C14" s="94"/>
      <c r="D14" s="94"/>
      <c r="E14" s="8">
        <f>E9*'Fane 11. Nøgletal'!C13+SUM(E11:E13)*'Fane 11. Nøgletal'!C14</f>
        <v>97108.135864702286</v>
      </c>
      <c r="F14" s="53" t="s">
        <v>3</v>
      </c>
      <c r="G14" s="1"/>
    </row>
    <row r="15" spans="1:7" x14ac:dyDescent="0.25">
      <c r="A15" s="1"/>
      <c r="B15" s="94" t="s">
        <v>44</v>
      </c>
      <c r="C15" s="94"/>
      <c r="D15" s="94"/>
      <c r="E15" s="8">
        <f>-SUM(E9:E14)*'Fane 11. Nøgletal'!C20</f>
        <v>-137116.02133496458</v>
      </c>
      <c r="F15" s="53" t="s">
        <v>3</v>
      </c>
      <c r="G15" s="1"/>
    </row>
    <row r="16" spans="1:7" x14ac:dyDescent="0.25">
      <c r="A16" s="1"/>
      <c r="B16" s="95" t="s">
        <v>19</v>
      </c>
      <c r="C16" s="95"/>
      <c r="D16" s="95"/>
      <c r="E16" s="33">
        <f>SUM(E9:E15)</f>
        <v>7928532.2924864804</v>
      </c>
      <c r="F16" s="34" t="s">
        <v>3</v>
      </c>
      <c r="G16" s="1"/>
    </row>
    <row r="17" spans="1:7" x14ac:dyDescent="0.25">
      <c r="A17" s="1"/>
      <c r="B17" s="96" t="s">
        <v>11</v>
      </c>
      <c r="C17" s="96"/>
      <c r="D17" s="96"/>
      <c r="E17" s="56"/>
      <c r="F17" s="56"/>
      <c r="G17" s="1"/>
    </row>
    <row r="18" spans="1:7" x14ac:dyDescent="0.25">
      <c r="A18" s="1"/>
      <c r="B18" s="97" t="s">
        <v>11</v>
      </c>
      <c r="C18" s="97"/>
      <c r="D18" s="97"/>
      <c r="E18" s="9">
        <v>3971483.6120168907</v>
      </c>
      <c r="F18" s="57" t="s">
        <v>3</v>
      </c>
      <c r="G18" s="1"/>
    </row>
    <row r="19" spans="1:7" ht="15.4" customHeight="1" x14ac:dyDescent="0.25">
      <c r="A19" s="1"/>
      <c r="B19" s="56" t="s">
        <v>36</v>
      </c>
      <c r="C19" s="56"/>
      <c r="D19" s="56"/>
      <c r="E19" s="56"/>
      <c r="F19" s="56"/>
      <c r="G19" s="1"/>
    </row>
    <row r="20" spans="1:7" ht="15.75" customHeight="1" x14ac:dyDescent="0.25">
      <c r="A20" s="1"/>
      <c r="B20" s="98" t="s">
        <v>33</v>
      </c>
      <c r="C20" s="99"/>
      <c r="D20" s="100"/>
      <c r="E20" s="74">
        <v>0</v>
      </c>
      <c r="F20" s="27" t="s">
        <v>3</v>
      </c>
      <c r="G20" s="1"/>
    </row>
    <row r="21" spans="1:7" x14ac:dyDescent="0.25">
      <c r="A21" s="1"/>
      <c r="B21" s="98" t="s">
        <v>34</v>
      </c>
      <c r="C21" s="99"/>
      <c r="D21" s="100"/>
      <c r="E21" s="74">
        <v>0</v>
      </c>
      <c r="F21" s="27" t="s">
        <v>3</v>
      </c>
      <c r="G21" s="1"/>
    </row>
    <row r="22" spans="1:7" x14ac:dyDescent="0.25">
      <c r="A22" s="1"/>
      <c r="B22" s="101" t="s">
        <v>37</v>
      </c>
      <c r="C22" s="102"/>
      <c r="D22" s="103"/>
      <c r="E22" s="9">
        <f>SUM(E20:E21)</f>
        <v>0</v>
      </c>
      <c r="F22" s="9" t="s">
        <v>3</v>
      </c>
      <c r="G22" s="1"/>
    </row>
    <row r="23" spans="1:7" ht="15.75" customHeight="1" x14ac:dyDescent="0.25">
      <c r="A23" s="1"/>
      <c r="B23" s="56" t="s">
        <v>62</v>
      </c>
      <c r="C23" s="56"/>
      <c r="D23" s="56"/>
      <c r="E23" s="56"/>
      <c r="F23" s="56"/>
      <c r="G23" s="1"/>
    </row>
    <row r="24" spans="1:7" x14ac:dyDescent="0.25">
      <c r="A24" s="1"/>
      <c r="B24" s="66" t="s">
        <v>27</v>
      </c>
      <c r="C24" s="28"/>
      <c r="D24" s="28"/>
      <c r="E24" s="9">
        <v>975073.91137475893</v>
      </c>
      <c r="F24" s="57" t="s">
        <v>3</v>
      </c>
      <c r="G24" s="1"/>
    </row>
    <row r="25" spans="1:7" x14ac:dyDescent="0.25">
      <c r="A25" s="1"/>
      <c r="B25" s="66" t="s">
        <v>63</v>
      </c>
      <c r="C25" s="28"/>
      <c r="D25" s="28"/>
      <c r="E25" s="9">
        <v>-1983217.6288789734</v>
      </c>
      <c r="F25" s="57" t="s">
        <v>3</v>
      </c>
      <c r="G25" s="1"/>
    </row>
    <row r="26" spans="1:7" x14ac:dyDescent="0.25">
      <c r="A26" s="1"/>
      <c r="B26" s="56" t="s">
        <v>75</v>
      </c>
      <c r="C26" s="56"/>
      <c r="D26" s="56"/>
      <c r="E26" s="56"/>
      <c r="F26" s="56"/>
      <c r="G26" s="1"/>
    </row>
    <row r="27" spans="1:7" x14ac:dyDescent="0.25">
      <c r="A27" s="1"/>
      <c r="B27" s="104" t="s">
        <v>76</v>
      </c>
      <c r="C27" s="105"/>
      <c r="D27" s="106"/>
      <c r="E27" s="9">
        <f>'Fane 6. Skattesagen'!G11</f>
        <v>0</v>
      </c>
      <c r="F27" s="57" t="s">
        <v>3</v>
      </c>
      <c r="G27" s="1"/>
    </row>
    <row r="28" spans="1:7" ht="15" customHeight="1" x14ac:dyDescent="0.25">
      <c r="A28" s="1"/>
      <c r="B28" s="35" t="s">
        <v>148</v>
      </c>
      <c r="C28" s="35"/>
      <c r="D28" s="35"/>
      <c r="E28" s="36">
        <f>E16+E18+E22+E24+E25+E27</f>
        <v>10891872.186999157</v>
      </c>
      <c r="F28" s="37"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7M1NW7jscj0EUQGkMwVAt5KzIKgF7HCe50gozGh52CUazrb0n/fbSvqElVlK9A78LeVahEAfzjyXVnGk3Bj8Q==" saltValue="ywnuMjfzz1Wivo8Ar1YcG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28515625" defaultRowHeight="15" x14ac:dyDescent="0.25"/>
  <cols>
    <col min="1" max="1" width="8.28515625" style="2" customWidth="1"/>
    <col min="2" max="2" width="37.7109375" style="2" customWidth="1"/>
    <col min="3" max="3" width="24.7109375" style="2" customWidth="1"/>
    <col min="4" max="4" width="3.28515625" style="2" customWidth="1"/>
    <col min="5" max="5" width="7.7109375" style="2" customWidth="1"/>
    <col min="6" max="6" width="4" style="2" customWidth="1"/>
    <col min="7" max="16384" width="9.28515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7" t="s">
        <v>109</v>
      </c>
      <c r="D9" s="57"/>
      <c r="E9" s="1"/>
      <c r="F9" s="1"/>
    </row>
    <row r="10" spans="1:6" x14ac:dyDescent="0.25">
      <c r="A10" s="1"/>
      <c r="B10" s="23" t="s">
        <v>131</v>
      </c>
      <c r="C10" s="8">
        <v>3787136</v>
      </c>
      <c r="D10" s="12" t="s">
        <v>3</v>
      </c>
      <c r="E10" s="1"/>
      <c r="F10" s="1"/>
    </row>
    <row r="11" spans="1:6" x14ac:dyDescent="0.25">
      <c r="A11" s="1"/>
      <c r="B11" s="23" t="s">
        <v>132</v>
      </c>
      <c r="C11" s="8">
        <v>17183</v>
      </c>
      <c r="D11" s="12" t="s">
        <v>3</v>
      </c>
      <c r="E11" s="1"/>
      <c r="F11" s="1"/>
    </row>
    <row r="12" spans="1:6" ht="26.25" x14ac:dyDescent="0.25">
      <c r="A12" s="1"/>
      <c r="B12" s="75" t="s">
        <v>133</v>
      </c>
      <c r="C12" s="8">
        <v>1923</v>
      </c>
      <c r="D12" s="12" t="s">
        <v>3</v>
      </c>
      <c r="E12" s="1"/>
      <c r="F12" s="1"/>
    </row>
    <row r="13" spans="1:6" x14ac:dyDescent="0.25">
      <c r="A13" s="1"/>
      <c r="B13" s="23" t="s">
        <v>134</v>
      </c>
      <c r="C13" s="8">
        <v>1958</v>
      </c>
      <c r="D13" s="12" t="s">
        <v>3</v>
      </c>
      <c r="E13" s="1"/>
      <c r="F13" s="1"/>
    </row>
    <row r="14" spans="1:6" x14ac:dyDescent="0.25">
      <c r="A14" s="1"/>
      <c r="B14" s="72" t="s">
        <v>92</v>
      </c>
      <c r="C14" s="10">
        <f>SUM(C10:C13)</f>
        <v>3808200</v>
      </c>
      <c r="D14" s="11" t="s">
        <v>3</v>
      </c>
      <c r="E14" s="1"/>
      <c r="F14" s="1"/>
    </row>
    <row r="15" spans="1:6" x14ac:dyDescent="0.25">
      <c r="A15" s="1"/>
      <c r="B15" s="72" t="s">
        <v>93</v>
      </c>
      <c r="C15" s="10">
        <f>C14*(1+'Fane 11. Nøgletal'!C15)^2</f>
        <v>4084170.2003520005</v>
      </c>
      <c r="D15" s="11" t="s">
        <v>3</v>
      </c>
      <c r="E15" s="1"/>
      <c r="F15" s="1"/>
    </row>
    <row r="16" spans="1:6" x14ac:dyDescent="0.25">
      <c r="A16" s="1"/>
      <c r="B16" s="14"/>
      <c r="C16" s="13"/>
      <c r="D16" s="13"/>
      <c r="E16" s="1"/>
      <c r="F16" s="1"/>
    </row>
    <row r="17" spans="1:6" x14ac:dyDescent="0.25">
      <c r="A17" s="1"/>
      <c r="B17" s="14"/>
      <c r="C17" s="13"/>
      <c r="D17" s="13"/>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De46VYn7C/MVf3DvxQsjH1tT+3ZXuyIlOdbgBsj5LfeH6SoEAQrFL+TD6KCt3t/8YtEbsljk029wdrEOAwCbfg==" saltValue="ynMoBaGurhqCmOu+KqMNy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28515625" defaultRowHeight="15" x14ac:dyDescent="0.25"/>
  <cols>
    <col min="1" max="1" width="3.5703125" style="2" customWidth="1"/>
    <col min="2" max="3" width="9.28515625" style="2"/>
    <col min="4" max="4" width="47.28515625" style="2" customWidth="1"/>
    <col min="5" max="5" width="10.7109375" style="2" customWidth="1"/>
    <col min="6" max="6" width="3.28515625" style="2" customWidth="1"/>
    <col min="7" max="7" width="2.42578125" style="2" customWidth="1"/>
    <col min="8" max="16384" width="9.28515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153</v>
      </c>
      <c r="C3" s="107"/>
      <c r="D3" s="107"/>
      <c r="E3" s="107"/>
      <c r="F3" s="107"/>
      <c r="G3" s="1"/>
    </row>
    <row r="4" spans="1:7" ht="15" customHeight="1" x14ac:dyDescent="0.25">
      <c r="A4" s="1"/>
      <c r="B4" s="107"/>
      <c r="C4" s="107"/>
      <c r="D4" s="107"/>
      <c r="E4" s="107"/>
      <c r="F4" s="10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413649.76221581176</v>
      </c>
      <c r="F9" s="12" t="s">
        <v>3</v>
      </c>
      <c r="G9" s="1"/>
    </row>
    <row r="10" spans="1:7" x14ac:dyDescent="0.25">
      <c r="A10" s="1"/>
      <c r="B10" s="119" t="s">
        <v>127</v>
      </c>
      <c r="C10" s="120"/>
      <c r="D10" s="121"/>
      <c r="E10" s="8">
        <v>0</v>
      </c>
      <c r="F10" s="12" t="s">
        <v>3</v>
      </c>
      <c r="G10" s="1"/>
    </row>
    <row r="11" spans="1:7" x14ac:dyDescent="0.25">
      <c r="A11" s="1"/>
      <c r="B11" s="72"/>
      <c r="C11" s="22"/>
      <c r="D11" s="22"/>
      <c r="E11" s="22"/>
      <c r="F11" s="73"/>
      <c r="G11" s="1"/>
    </row>
    <row r="12" spans="1:7" ht="68.25" customHeight="1" x14ac:dyDescent="0.25">
      <c r="A12" s="1"/>
      <c r="B12" s="125" t="s">
        <v>150</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128</v>
      </c>
      <c r="C16" s="120"/>
      <c r="D16" s="121"/>
      <c r="E16" s="8">
        <v>0</v>
      </c>
      <c r="F16" s="12" t="s">
        <v>3</v>
      </c>
      <c r="G16" s="1"/>
    </row>
    <row r="17" spans="1:7" x14ac:dyDescent="0.25">
      <c r="A17" s="1"/>
      <c r="B17" s="72"/>
      <c r="C17" s="22"/>
      <c r="D17" s="22"/>
      <c r="E17" s="22"/>
      <c r="F17" s="73"/>
      <c r="G17" s="1"/>
    </row>
    <row r="18" spans="1:7" ht="31.5" customHeight="1" x14ac:dyDescent="0.25">
      <c r="A18" s="1"/>
      <c r="B18" s="125" t="s">
        <v>151</v>
      </c>
      <c r="C18" s="126"/>
      <c r="D18" s="126"/>
      <c r="E18" s="126"/>
      <c r="F18" s="127"/>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11229924.581670158</v>
      </c>
      <c r="F21" s="12" t="s">
        <v>3</v>
      </c>
      <c r="G21" s="1"/>
    </row>
    <row r="22" spans="1:7" x14ac:dyDescent="0.25">
      <c r="A22" s="1"/>
      <c r="B22" s="67" t="s">
        <v>129</v>
      </c>
      <c r="C22" s="68"/>
      <c r="D22" s="69"/>
      <c r="E22" s="8">
        <v>11531307</v>
      </c>
      <c r="F22" s="12" t="s">
        <v>3</v>
      </c>
      <c r="G22" s="1"/>
    </row>
    <row r="23" spans="1:7" x14ac:dyDescent="0.25">
      <c r="A23" s="1"/>
      <c r="B23" s="67" t="s">
        <v>26</v>
      </c>
      <c r="C23" s="68"/>
      <c r="D23" s="69"/>
      <c r="E23" s="8">
        <v>0</v>
      </c>
      <c r="F23" s="12" t="s">
        <v>3</v>
      </c>
      <c r="G23" s="1"/>
    </row>
    <row r="24" spans="1:7" x14ac:dyDescent="0.25">
      <c r="A24" s="1"/>
      <c r="B24" s="58" t="s">
        <v>152</v>
      </c>
      <c r="C24" s="59"/>
      <c r="D24" s="60"/>
      <c r="E24" s="51">
        <f>E21-(E22-E23)</f>
        <v>-301382.41832984239</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2" t="s">
        <v>130</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-301382.41832984239</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-150691.20916492119</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EyIEXTBZWjA8Dh2nNlb8DGp+AmPtyZ+r6WgbD1JGB858DVDha2ji14X06YlW6TaNIxB6XCYoztsQzy9Dz08u7g==" saltValue="eAp6rrkOjW+BhAYpW/5/0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50"/>
  <sheetViews>
    <sheetView view="pageLayout" zoomScaleNormal="100" workbookViewId="0"/>
  </sheetViews>
  <sheetFormatPr defaultColWidth="9.28515625" defaultRowHeight="15" x14ac:dyDescent="0.25"/>
  <cols>
    <col min="1" max="1" width="4.7109375" style="49" customWidth="1"/>
    <col min="2" max="2" width="22.5703125" style="49" customWidth="1"/>
    <col min="3" max="3" width="8.28515625" style="49" customWidth="1"/>
    <col min="4" max="6" width="10.7109375" style="49" customWidth="1"/>
    <col min="7" max="7" width="11.28515625" style="49" customWidth="1"/>
    <col min="8" max="8" width="3.28515625" style="49" customWidth="1"/>
    <col min="9" max="9" width="4.7109375" style="49" customWidth="1"/>
    <col min="10" max="16384" width="9.28515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4" t="s">
        <v>124</v>
      </c>
      <c r="C9" s="105"/>
      <c r="D9" s="105"/>
      <c r="E9" s="105"/>
      <c r="F9" s="105"/>
      <c r="G9" s="105"/>
      <c r="H9" s="106"/>
      <c r="I9" s="1"/>
    </row>
    <row r="10" spans="1:9" x14ac:dyDescent="0.25">
      <c r="A10" s="1"/>
      <c r="B10" s="109" t="s">
        <v>139</v>
      </c>
      <c r="C10" s="110"/>
      <c r="D10" s="110"/>
      <c r="E10" s="110"/>
      <c r="F10" s="111"/>
      <c r="G10" s="50">
        <v>0</v>
      </c>
      <c r="H10" s="8" t="s">
        <v>3</v>
      </c>
      <c r="I10" s="1"/>
    </row>
    <row r="11" spans="1:9" x14ac:dyDescent="0.25">
      <c r="A11" s="1"/>
      <c r="B11" s="109" t="s">
        <v>140</v>
      </c>
      <c r="C11" s="110"/>
      <c r="D11" s="110"/>
      <c r="E11" s="110"/>
      <c r="F11" s="111"/>
      <c r="G11" s="50">
        <v>0</v>
      </c>
      <c r="H11" s="8" t="s">
        <v>3</v>
      </c>
      <c r="I11" s="1"/>
    </row>
    <row r="12" spans="1:9" x14ac:dyDescent="0.25">
      <c r="A12" s="1"/>
      <c r="B12" s="109" t="s">
        <v>141</v>
      </c>
      <c r="C12" s="110"/>
      <c r="D12" s="110"/>
      <c r="E12" s="110"/>
      <c r="F12" s="111"/>
      <c r="G12" s="8">
        <v>0</v>
      </c>
      <c r="H12" s="8" t="s">
        <v>3</v>
      </c>
      <c r="I12" s="1"/>
    </row>
    <row r="13" spans="1:9" x14ac:dyDescent="0.25">
      <c r="A13" s="1"/>
      <c r="B13" s="109" t="s">
        <v>142</v>
      </c>
      <c r="C13" s="110"/>
      <c r="D13" s="110"/>
      <c r="E13" s="110"/>
      <c r="F13" s="111"/>
      <c r="G13" s="8">
        <v>0</v>
      </c>
      <c r="H13" s="8" t="s">
        <v>3</v>
      </c>
      <c r="I13" s="1"/>
    </row>
    <row r="14" spans="1:9" x14ac:dyDescent="0.25">
      <c r="A14" s="1"/>
      <c r="B14" s="109" t="s">
        <v>143</v>
      </c>
      <c r="C14" s="110"/>
      <c r="D14" s="110"/>
      <c r="E14" s="110"/>
      <c r="F14" s="111"/>
      <c r="G14" s="8">
        <v>0</v>
      </c>
      <c r="H14" s="8" t="s">
        <v>3</v>
      </c>
      <c r="I14" s="1"/>
    </row>
    <row r="15" spans="1:9" x14ac:dyDescent="0.25">
      <c r="A15" s="1"/>
      <c r="B15" s="109" t="s">
        <v>144</v>
      </c>
      <c r="C15" s="110"/>
      <c r="D15" s="110"/>
      <c r="E15" s="110"/>
      <c r="F15" s="111"/>
      <c r="G15" s="8">
        <v>0</v>
      </c>
      <c r="H15" s="8" t="s">
        <v>3</v>
      </c>
      <c r="I15" s="1"/>
    </row>
    <row r="16" spans="1:9" x14ac:dyDescent="0.25">
      <c r="A16" s="1"/>
      <c r="B16" s="109" t="s">
        <v>145</v>
      </c>
      <c r="C16" s="110"/>
      <c r="D16" s="110"/>
      <c r="E16" s="110"/>
      <c r="F16" s="111"/>
      <c r="G16" s="8">
        <v>0</v>
      </c>
      <c r="H16" s="8" t="s">
        <v>3</v>
      </c>
      <c r="I16" s="1"/>
    </row>
    <row r="17" spans="1:9" x14ac:dyDescent="0.25">
      <c r="A17" s="1"/>
      <c r="B17" s="109" t="s">
        <v>146</v>
      </c>
      <c r="C17" s="110"/>
      <c r="D17" s="110"/>
      <c r="E17" s="110"/>
      <c r="F17" s="111"/>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rKgAxnyq5Nnoa/A1GVSpbJ4As1OuWol1wrI2Bd1Gw3MVuyXFSTkbpt26cdPBIfPX0ZxtJZOu/y+SMxsurAzVw==" saltValue="TY9tgkSSbDqLCPHqAO24K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2022-10-10T13:01:29Z</dcterms:modified>
</cp:coreProperties>
</file>