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Ringsted Spildevand AS (S079)\ØR2025\"/>
    </mc:Choice>
  </mc:AlternateContent>
  <xr:revisionPtr revIDLastSave="0" documentId="13_ncr:1_{0AD0540A-59DF-4D05-83EC-8289A0CCCD5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19" i="19"/>
  <c r="C20"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<sst xmlns="http://schemas.openxmlformats.org/spreadsheetml/2006/main" count="551" uniqueCount="237">
  <si>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</si>
  <si>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</si>
  <si>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</si>
  <si>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</si>
  <si>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</si>
  <si>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</si>
  <si>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</si>
  <si>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</si>
  <si>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</si>
  <si>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</si>
  <si>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</si>
  <si>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</si>
  <si>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</si>
  <si>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</si>
  <si>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</si>
  <si>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</si>
  <si>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</si>
  <si>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</si>
  <si>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</si>
  <si>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</si>
  <si>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</si>
  <si>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</si>
  <si>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</si>
  <si>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</si>
  <si>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</si>
  <si>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</si>
  <si>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</si>
  <si>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</si>
  <si>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</si>
  <si>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</si>
  <si>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</si>
  <si>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</si>
  <si>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</si>
  <si>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</si>
  <si>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</si>
  <si>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</si>
  <si>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</si>
  <si>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</si>
  <si>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</si>
  <si>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</si>
  <si>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</si>
  <si>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</si>
  <si>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</si>
  <si>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</si>
  <si>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</si>
  <si>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</si>
  <si>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</si>
  <si>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</si>
  <si>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</si>
  <si>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</si>
  <si>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</si>
  <si>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</si>
  <si>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</si>
  <si>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</si>
  <si>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</si>
  <si>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</si>
  <si>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</si>
  <si>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</si>
  <si>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</si>
  <si>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</si>
  <si>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</si>
  <si>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</si>
  <si>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</si>
  <si>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</si>
  <si>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</si>
  <si>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</si>
  <si>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</si>
  <si>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</si>
  <si>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</si>
  <si>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</si>
  <si>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</si>
  <si>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</si>
  <si>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</si>
  <si>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</si>
  <si>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</si>
  <si>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</si>
  <si>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</si>
  <si>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</si>
  <si>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</si>
  <si>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</si>
  <si>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</si>
  <si>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</si>
  <si>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</si>
  <si>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</si>
  <si>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</si>
  <si>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</si>
  <si>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</si>
  <si>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</si>
  <si>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</si>
  <si>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</si>
  <si>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</si>
  <si>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</si>
  <si>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</si>
  <si>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</si>
  <si>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</si>
  <si>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</si>
  <si>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</si>
  <si>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</si>
  <si>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</si>
  <si>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</si>
  <si>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</si>
  <si>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</si>
  <si>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</si>
  <si>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</si>
  <si>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</si>
  <si>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</si>
  <si>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</si>
  <si>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</si>
  <si>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</si>
  <si>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</si>
  <si>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</si>
  <si>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</si>
  <si>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</si>
  <si>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</si>
  <si>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</si>
  <si>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</si>
  <si>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</si>
  <si>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</si>
  <si>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</si>
  <si>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</si>
  <si>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</si>
  <si>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</si>
  <si>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</si>
  <si>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</si>
  <si>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</si>
  <si>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</si>
  <si>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</si>
  <si>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</si>
  <si>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</si>
  <si>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</si>
  <si>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</si>
  <si>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</si>
  <si>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</si>
  <si>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</si>
  <si>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</si>
  <si>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</si>
  <si>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</si>
  <si>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</si>
  <si>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</si>
  <si>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</si>
  <si>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</si>
  <si>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</si>
  <si>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</si>
  <si>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</si>
  <si>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</si>
  <si>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</si>
  <si>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</si>
  <si>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</si>
  <si>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</si>
  <si>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</si>
  <si>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</si>
  <si>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</si>
  <si>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</si>
  <si>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</si>
  <si>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</si>
  <si>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</si>
  <si>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</si>
  <si>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</si>
  <si>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</si>
  <si>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</si>
  <si>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</si>
  <si>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</si>
  <si>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</si>
  <si>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</si>
  <si>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</si>
  <si>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</si>
  <si>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</si>
  <si>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</si>
  <si>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</si>
  <si>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</si>
  <si>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</si>
  <si>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</si>
  <si>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</si>
  <si>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</si>
  <si>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</si>
  <si>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</si>
  <si>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</si>
  <si>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</si>
  <si>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</si>
  <si>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</si>
  <si>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</si>
  <si>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</si>
  <si>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</si>
  <si>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</si>
  <si>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</si>
  <si>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</si>
  <si>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</si>
  <si>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</si>
  <si>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</si>
  <si>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</si>
  <si>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</si>
  <si>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</si>
  <si>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</si>
  <si>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</si>
  <si>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</si>
  <si>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</si>
  <si>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</si>
  <si>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</si>
  <si>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</si>
  <si>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</si>
  <si>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</si>
  <si>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</si>
  <si>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</si>
  <si>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</si>
  <si>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</si>
  <si>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</si>
  <si>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</si>
  <si>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</si>
  <si>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</si>
  <si>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</si>
  <si>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</si>
  <si>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</si>
  <si>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</si>
  <si>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</si>
  <si>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</si>
  <si>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</si>
  <si>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</si>
  <si>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</si>
  <si>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</si>
  <si>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</si>
  <si>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</si>
  <si>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</si>
  <si>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</si>
  <si>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</si>
  <si>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</si>
  <si>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</si>
  <si>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</si>
  <si>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</si>
  <si>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</si>
  <si>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</si>
  <si>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</si>
  <si>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</si>
  <si>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</si>
  <si>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</si>
  <si>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Separatkloakering 2023</t>
  </si>
  <si>
    <t>Byggemodninger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</si>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</sst>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5" t="s">
        <v>4</v>
      </c>
      <c r="D6" s="85"/>
      <c r="E6" s="85"/>
      <c r="F6" s="85"/>
      <c r="G6" s="3"/>
    </row>
    <row r="7" spans="1:7" ht="15" customHeight="1" x14ac:dyDescent="0.25">
      <c r="A7" s="1"/>
      <c r="B7" s="3"/>
      <c r="C7" s="85"/>
      <c r="D7" s="85"/>
      <c r="E7" s="85"/>
      <c r="F7" s="85"/>
      <c r="G7" s="3"/>
    </row>
    <row r="8" spans="1:7" ht="15.75" x14ac:dyDescent="0.25">
      <c r="A8" s="1"/>
      <c r="B8" s="4"/>
      <c r="C8" s="93" t="s">
        <v>233</v>
      </c>
      <c r="D8" s="93"/>
      <c r="E8" s="93"/>
      <c r="F8" s="93"/>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2" t="s">
        <v>5</v>
      </c>
      <c r="D11" s="92"/>
      <c r="E11" s="92"/>
      <c r="F11" s="92"/>
      <c r="G11" s="5"/>
    </row>
    <row r="12" spans="1:7" x14ac:dyDescent="0.25">
      <c r="A12" s="1"/>
      <c r="B12" s="1"/>
      <c r="C12" s="1"/>
      <c r="D12" s="1"/>
      <c r="E12" s="1"/>
      <c r="F12" s="1"/>
      <c r="G12" s="5"/>
    </row>
    <row r="13" spans="1:7" x14ac:dyDescent="0.25">
      <c r="A13" s="1"/>
      <c r="B13" s="6" t="s">
        <v>6</v>
      </c>
      <c r="C13" s="97" t="s">
        <v>127</v>
      </c>
      <c r="D13" s="98"/>
      <c r="E13" s="98"/>
      <c r="F13" s="99"/>
      <c r="G13" s="5"/>
    </row>
    <row r="14" spans="1:7" x14ac:dyDescent="0.25">
      <c r="A14" s="1"/>
      <c r="B14" s="6" t="s">
        <v>16</v>
      </c>
      <c r="C14" s="82" t="s">
        <v>186</v>
      </c>
      <c r="D14" s="83"/>
      <c r="E14" s="83"/>
      <c r="F14" s="84"/>
      <c r="G14" s="5"/>
    </row>
    <row r="15" spans="1:7" x14ac:dyDescent="0.25">
      <c r="A15" s="1"/>
      <c r="B15" s="6" t="s">
        <v>30</v>
      </c>
      <c r="C15" s="82" t="s">
        <v>149</v>
      </c>
      <c r="D15" s="83"/>
      <c r="E15" s="83"/>
      <c r="F15" s="84"/>
      <c r="G15" s="5"/>
    </row>
    <row r="16" spans="1:7" x14ac:dyDescent="0.25">
      <c r="A16" s="1"/>
      <c r="B16" s="6" t="s">
        <v>31</v>
      </c>
      <c r="C16" s="82" t="s">
        <v>151</v>
      </c>
      <c r="D16" s="83"/>
      <c r="E16" s="83"/>
      <c r="F16" s="84"/>
      <c r="G16" s="5"/>
    </row>
    <row r="17" spans="1:8" x14ac:dyDescent="0.25">
      <c r="A17" s="1"/>
      <c r="B17" s="6" t="s">
        <v>61</v>
      </c>
      <c r="C17" s="82" t="s">
        <v>152</v>
      </c>
      <c r="D17" s="83"/>
      <c r="E17" s="83"/>
      <c r="F17" s="84"/>
      <c r="G17" s="5"/>
    </row>
    <row r="18" spans="1:8" x14ac:dyDescent="0.25">
      <c r="A18" s="1"/>
      <c r="B18" s="6" t="s">
        <v>53</v>
      </c>
      <c r="C18" s="94" t="s">
        <v>45</v>
      </c>
      <c r="D18" s="95"/>
      <c r="E18" s="95"/>
      <c r="F18" s="96"/>
      <c r="G18" s="5"/>
    </row>
    <row r="19" spans="1:8" x14ac:dyDescent="0.25">
      <c r="A19" s="1"/>
      <c r="B19" s="6" t="s">
        <v>54</v>
      </c>
      <c r="C19" s="94" t="s">
        <v>46</v>
      </c>
      <c r="D19" s="95"/>
      <c r="E19" s="95"/>
      <c r="F19" s="96"/>
      <c r="G19" s="5"/>
    </row>
    <row r="20" spans="1:8" x14ac:dyDescent="0.25">
      <c r="A20" s="1"/>
      <c r="B20" s="6" t="s">
        <v>7</v>
      </c>
      <c r="C20" s="94" t="s">
        <v>10</v>
      </c>
      <c r="D20" s="95"/>
      <c r="E20" s="95"/>
      <c r="F20" s="96"/>
      <c r="G20" s="5"/>
    </row>
    <row r="21" spans="1:8" x14ac:dyDescent="0.25">
      <c r="A21" s="1"/>
      <c r="B21" s="6" t="s">
        <v>55</v>
      </c>
      <c r="C21" s="86" t="s">
        <v>12</v>
      </c>
      <c r="D21" s="87"/>
      <c r="E21" s="87"/>
      <c r="F21" s="88"/>
      <c r="G21" s="5"/>
    </row>
    <row r="22" spans="1:8" x14ac:dyDescent="0.25">
      <c r="A22" s="1"/>
      <c r="B22" s="6" t="s">
        <v>39</v>
      </c>
      <c r="C22" s="89" t="s">
        <v>153</v>
      </c>
      <c r="D22" s="90"/>
      <c r="E22" s="90"/>
      <c r="F22" s="91"/>
      <c r="G22" s="5"/>
    </row>
    <row r="23" spans="1:8" x14ac:dyDescent="0.25">
      <c r="A23" s="1"/>
      <c r="B23" s="6" t="s">
        <v>8</v>
      </c>
      <c r="C23" s="89" t="s">
        <v>112</v>
      </c>
      <c r="D23" s="90"/>
      <c r="E23" s="90"/>
      <c r="F23" s="91"/>
      <c r="G23" s="5"/>
    </row>
    <row r="24" spans="1:8" x14ac:dyDescent="0.25">
      <c r="A24" s="1"/>
      <c r="B24" s="6" t="s">
        <v>9</v>
      </c>
      <c r="C24" s="89" t="s">
        <v>154</v>
      </c>
      <c r="D24" s="90"/>
      <c r="E24" s="90"/>
      <c r="F24" s="91"/>
      <c r="G24" s="5"/>
    </row>
    <row r="25" spans="1:8" x14ac:dyDescent="0.25">
      <c r="A25" s="1"/>
      <c r="B25" s="6" t="s">
        <v>97</v>
      </c>
      <c r="C25" s="89" t="s">
        <v>91</v>
      </c>
      <c r="D25" s="90"/>
      <c r="E25" s="90"/>
      <c r="F25" s="91"/>
      <c r="G25" s="1"/>
    </row>
    <row r="26" spans="1:8" x14ac:dyDescent="0.25">
      <c r="A26" s="1"/>
      <c r="B26" s="6" t="s">
        <v>98</v>
      </c>
      <c r="C26" s="89" t="s">
        <v>40</v>
      </c>
      <c r="D26" s="90"/>
      <c r="E26" s="90"/>
      <c r="F26" s="91"/>
      <c r="G26" s="1"/>
    </row>
    <row r="27" spans="1:8" x14ac:dyDescent="0.25">
      <c r="A27" s="1"/>
      <c r="B27" s="6" t="s">
        <v>99</v>
      </c>
      <c r="C27" s="89" t="s">
        <v>41</v>
      </c>
      <c r="D27" s="90"/>
      <c r="E27" s="90"/>
      <c r="F27" s="91"/>
      <c r="G27" s="1"/>
    </row>
    <row r="28" spans="1:8" x14ac:dyDescent="0.25">
      <c r="A28" s="1"/>
      <c r="B28" s="6" t="s">
        <v>15</v>
      </c>
      <c r="C28" s="89" t="s">
        <v>42</v>
      </c>
      <c r="D28" s="90"/>
      <c r="E28" s="90"/>
      <c r="F28" s="91"/>
      <c r="G28" s="1"/>
      <c r="H28" s="2" t="s">
        <v>150</v>
      </c>
    </row>
    <row r="29" spans="1:8" x14ac:dyDescent="0.25">
      <c r="A29" s="1"/>
      <c r="B29" s="6" t="s">
        <v>33</v>
      </c>
      <c r="C29" s="89" t="s">
        <v>68</v>
      </c>
      <c r="D29" s="90"/>
      <c r="E29" s="90"/>
      <c r="F29" s="91"/>
      <c r="G29" s="1"/>
    </row>
    <row r="30" spans="1:8" x14ac:dyDescent="0.25">
      <c r="A30" s="1"/>
      <c r="B30" s="6" t="s">
        <v>34</v>
      </c>
      <c r="C30" s="89" t="s">
        <v>32</v>
      </c>
      <c r="D30" s="90"/>
      <c r="E30" s="90"/>
      <c r="F30" s="91"/>
      <c r="G30" s="1"/>
    </row>
    <row r="31" spans="1:8" x14ac:dyDescent="0.25">
      <c r="A31" s="1"/>
      <c r="B31" s="6" t="s">
        <v>100</v>
      </c>
      <c r="C31" s="100" t="s">
        <v>52</v>
      </c>
      <c r="D31" s="101"/>
      <c r="E31" s="101"/>
      <c r="F31" s="102"/>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NMiURyJDacizCPra9LqpPRxw5vEUAST1wgFuRAITDCOWFyQT0WkZeOCCuXXHm8uwivZQQ9kt7ZpykqegHYKYrw==" saltValue="+qbQ6qTCFf2s4fosfGECT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58</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7" t="s">
        <v>165</v>
      </c>
      <c r="C8" s="108"/>
      <c r="D8" s="109"/>
      <c r="E8" s="1"/>
    </row>
    <row r="9" spans="1:5" ht="15" customHeight="1" x14ac:dyDescent="0.25">
      <c r="A9" s="1"/>
      <c r="B9" s="27" t="s">
        <v>28</v>
      </c>
      <c r="C9" s="67" t="s">
        <v>166</v>
      </c>
      <c r="D9" s="11"/>
      <c r="E9" s="1"/>
    </row>
    <row r="10" spans="1:5" ht="15" customHeight="1" x14ac:dyDescent="0.25">
      <c r="A10" s="1"/>
      <c r="B10" s="71" t="s">
        <v>228</v>
      </c>
      <c r="C10" s="72">
        <v>126662</v>
      </c>
      <c r="D10" s="14" t="s">
        <v>3</v>
      </c>
      <c r="E10" s="1"/>
    </row>
    <row r="11" spans="1:5" ht="15" customHeight="1" x14ac:dyDescent="0.25">
      <c r="A11" s="1"/>
      <c r="B11" s="71" t="s">
        <v>229</v>
      </c>
      <c r="C11" s="72">
        <v>69085</v>
      </c>
      <c r="D11" s="14" t="s">
        <v>3</v>
      </c>
      <c r="E11" s="1"/>
    </row>
    <row r="12" spans="1:5" ht="25.5" x14ac:dyDescent="0.25">
      <c r="A12" s="1"/>
      <c r="B12" s="71" t="s">
        <v>230</v>
      </c>
      <c r="C12" s="72">
        <v>4322</v>
      </c>
      <c r="D12" s="14" t="s">
        <v>3</v>
      </c>
      <c r="E12" s="1"/>
    </row>
    <row r="13" spans="1:5" x14ac:dyDescent="0.25">
      <c r="A13" s="1"/>
      <c r="B13" s="71" t="s">
        <v>231</v>
      </c>
      <c r="C13" s="72">
        <v>116425</v>
      </c>
      <c r="D13" s="14" t="s">
        <v>3</v>
      </c>
      <c r="E13" s="1"/>
    </row>
    <row r="14" spans="1:5" x14ac:dyDescent="0.25">
      <c r="A14" s="1"/>
      <c r="B14" s="71" t="s">
        <v>232</v>
      </c>
      <c r="C14" s="72">
        <v>22144</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33" t="s">
        <v>167</v>
      </c>
      <c r="C19" s="12">
        <f>SUM(C10:C18)</f>
        <v>338638</v>
      </c>
      <c r="D19" s="13" t="s">
        <v>3</v>
      </c>
      <c r="E19" s="1"/>
    </row>
    <row r="20" spans="1:5" x14ac:dyDescent="0.25">
      <c r="A20" s="1"/>
      <c r="B20" s="33" t="s">
        <v>168</v>
      </c>
      <c r="C20" s="12">
        <f>C19*(1+'Fane 15. Nøgletal'!C10)^2</f>
        <v>385029.94647021999</v>
      </c>
      <c r="D20" s="13" t="s">
        <v>3</v>
      </c>
      <c r="E20" s="1"/>
    </row>
    <row r="21" spans="1:5" x14ac:dyDescent="0.25">
      <c r="A21" s="1"/>
      <c r="B21" s="16"/>
      <c r="C21" s="15"/>
      <c r="D21" s="15"/>
      <c r="E21" s="1"/>
    </row>
    <row r="22" spans="1:5" x14ac:dyDescent="0.25">
      <c r="A22" s="1"/>
      <c r="B22" s="16"/>
      <c r="C22" s="15"/>
      <c r="D22" s="15"/>
      <c r="E22" s="1"/>
    </row>
    <row r="23" spans="1:5" x14ac:dyDescent="0.25">
      <c r="A23" s="1"/>
      <c r="B23" s="107" t="s">
        <v>60</v>
      </c>
      <c r="C23" s="108"/>
      <c r="D23" s="109"/>
      <c r="E23" s="1"/>
    </row>
    <row r="24" spans="1:5" x14ac:dyDescent="0.25">
      <c r="A24" s="1"/>
      <c r="B24" s="37" t="s">
        <v>72</v>
      </c>
      <c r="C24" s="9">
        <v>2263664</v>
      </c>
      <c r="D24" s="14" t="s">
        <v>3</v>
      </c>
      <c r="E24" s="1"/>
    </row>
    <row r="25" spans="1:5" x14ac:dyDescent="0.25">
      <c r="A25" s="1"/>
      <c r="B25" s="37" t="s">
        <v>83</v>
      </c>
      <c r="C25" s="9">
        <v>3565562</v>
      </c>
      <c r="D25" s="14" t="s">
        <v>3</v>
      </c>
      <c r="E25" s="1"/>
    </row>
    <row r="26" spans="1:5" x14ac:dyDescent="0.25">
      <c r="A26" s="1"/>
      <c r="B26" s="37" t="s">
        <v>148</v>
      </c>
      <c r="C26" s="9">
        <v>3580124</v>
      </c>
      <c r="D26" s="14" t="s">
        <v>3</v>
      </c>
      <c r="E26" s="1"/>
    </row>
    <row r="27" spans="1:5" x14ac:dyDescent="0.25">
      <c r="A27" s="1"/>
      <c r="B27" s="34" t="s">
        <v>169</v>
      </c>
      <c r="C27" s="9">
        <v>3594905</v>
      </c>
      <c r="D27" s="36" t="s">
        <v>3</v>
      </c>
      <c r="E27" s="1"/>
    </row>
    <row r="28" spans="1:5" x14ac:dyDescent="0.25">
      <c r="A28" s="1"/>
      <c r="B28" s="107"/>
      <c r="C28" s="108"/>
      <c r="D28" s="109"/>
      <c r="E28" s="1"/>
    </row>
    <row r="29" spans="1:5" x14ac:dyDescent="0.25">
      <c r="A29" s="1"/>
      <c r="B29" s="1"/>
      <c r="C29" s="1"/>
      <c r="D29" s="1"/>
      <c r="E29" s="1"/>
    </row>
    <row r="30" spans="1:5" x14ac:dyDescent="0.25">
      <c r="A30" s="1"/>
      <c r="B30" s="1"/>
      <c r="C30" s="1"/>
      <c r="D30" s="1"/>
      <c r="E30" s="1"/>
    </row>
    <row r="31" spans="1:5" x14ac:dyDescent="0.25">
      <c r="A31" s="1"/>
      <c r="B31" s="107" t="s">
        <v>47</v>
      </c>
      <c r="C31" s="108"/>
      <c r="D31" s="109"/>
      <c r="E31" s="1"/>
    </row>
    <row r="32" spans="1:5" x14ac:dyDescent="0.25">
      <c r="A32" s="1"/>
      <c r="B32" s="37" t="s">
        <v>72</v>
      </c>
      <c r="C32" s="9">
        <v>0</v>
      </c>
      <c r="D32" s="14" t="s">
        <v>3</v>
      </c>
      <c r="E32" s="1"/>
    </row>
    <row r="33" spans="1:5" x14ac:dyDescent="0.25">
      <c r="A33" s="1"/>
      <c r="B33" s="37" t="s">
        <v>83</v>
      </c>
      <c r="C33" s="9">
        <v>0</v>
      </c>
      <c r="D33" s="14" t="s">
        <v>3</v>
      </c>
      <c r="E33" s="1"/>
    </row>
    <row r="34" spans="1:5" x14ac:dyDescent="0.25">
      <c r="A34" s="1"/>
      <c r="B34" s="37" t="s">
        <v>148</v>
      </c>
      <c r="C34" s="9">
        <v>0</v>
      </c>
      <c r="D34" s="14" t="s">
        <v>3</v>
      </c>
      <c r="E34" s="1"/>
    </row>
    <row r="35" spans="1:5" x14ac:dyDescent="0.25">
      <c r="A35" s="1"/>
      <c r="B35" s="34" t="s">
        <v>169</v>
      </c>
      <c r="C35" s="9">
        <v>0</v>
      </c>
      <c r="D35" s="36" t="s">
        <v>3</v>
      </c>
      <c r="E35" s="1"/>
    </row>
    <row r="36" spans="1:5" x14ac:dyDescent="0.25">
      <c r="A36" s="1"/>
      <c r="B36" s="107"/>
      <c r="C36" s="108"/>
      <c r="D36" s="109"/>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x14ac:dyDescent="0.25"/>
  </sheetData>
  <sheetProtection algorithmName="SHA-512" hashValue="g8o8wDUC5+2OBElKQzf9xyml57HUDmlu2I46sgCiHxFC/ejPf+jg0+oW9T+axjQtjUugCdVe+F/KLkM7wG+aKw==" saltValue="ezp5zNZw4z+FFx0AGGSQgQ==" spinCount="100000" sheet="1" objects="1" scenarios="1"/>
  <mergeCells count="6">
    <mergeCell ref="B36:D36"/>
    <mergeCell ref="B3:D4"/>
    <mergeCell ref="B8:D8"/>
    <mergeCell ref="B23:D23"/>
    <mergeCell ref="B31:D31"/>
    <mergeCell ref="B28:D2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77</v>
      </c>
      <c r="C8" s="108"/>
      <c r="D8" s="109"/>
      <c r="E8" s="1"/>
    </row>
    <row r="9" spans="1:5" x14ac:dyDescent="0.25">
      <c r="A9" s="1"/>
      <c r="B9" s="65" t="s">
        <v>204</v>
      </c>
      <c r="C9" s="9">
        <v>-1079017.4733806178</v>
      </c>
      <c r="D9" s="14" t="s">
        <v>3</v>
      </c>
      <c r="E9" s="1"/>
    </row>
    <row r="10" spans="1:5" x14ac:dyDescent="0.25">
      <c r="A10" s="1"/>
      <c r="B10" s="33"/>
      <c r="C10" s="28"/>
      <c r="D10" s="19"/>
      <c r="E10" s="1"/>
    </row>
    <row r="11" spans="1:5" ht="53.25" customHeight="1" x14ac:dyDescent="0.25">
      <c r="A11" s="1"/>
      <c r="B11" s="118" t="s">
        <v>212</v>
      </c>
      <c r="C11" s="119"/>
      <c r="D11" s="120"/>
      <c r="E11" s="1"/>
    </row>
    <row r="12" spans="1:5" x14ac:dyDescent="0.25">
      <c r="A12" s="1"/>
      <c r="B12" s="1"/>
      <c r="C12" s="1"/>
      <c r="D12" s="1"/>
      <c r="E12" s="1"/>
    </row>
    <row r="13" spans="1:5" x14ac:dyDescent="0.25">
      <c r="A13" s="1"/>
      <c r="B13" s="107" t="s">
        <v>78</v>
      </c>
      <c r="C13" s="108"/>
      <c r="D13" s="109"/>
      <c r="E13" s="1"/>
    </row>
    <row r="14" spans="1:5" x14ac:dyDescent="0.25">
      <c r="A14" s="1"/>
      <c r="B14" s="65" t="s">
        <v>202</v>
      </c>
      <c r="C14" s="9">
        <v>-2340123</v>
      </c>
      <c r="D14" s="14" t="s">
        <v>3</v>
      </c>
      <c r="E14" s="1"/>
    </row>
    <row r="15" spans="1:5" x14ac:dyDescent="0.25">
      <c r="A15" s="1"/>
      <c r="B15" s="65" t="s">
        <v>203</v>
      </c>
      <c r="C15" s="9">
        <v>-2340123</v>
      </c>
      <c r="D15" s="14" t="s">
        <v>3</v>
      </c>
      <c r="E15" s="1"/>
    </row>
    <row r="16" spans="1:5" x14ac:dyDescent="0.25">
      <c r="A16" s="1"/>
      <c r="B16" s="33"/>
      <c r="C16" s="28"/>
      <c r="D16" s="19"/>
      <c r="E16" s="1"/>
    </row>
    <row r="17" spans="1:5" ht="29.25" customHeight="1" x14ac:dyDescent="0.25">
      <c r="A17" s="1"/>
      <c r="B17" s="118" t="s">
        <v>121</v>
      </c>
      <c r="C17" s="119"/>
      <c r="D17" s="120"/>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64360110.821770288</v>
      </c>
      <c r="D20" s="14" t="s">
        <v>3</v>
      </c>
      <c r="E20" s="1"/>
    </row>
    <row r="21" spans="1:5" x14ac:dyDescent="0.25">
      <c r="A21" s="1"/>
      <c r="B21" s="65" t="s">
        <v>207</v>
      </c>
      <c r="C21" s="9">
        <v>64800086</v>
      </c>
      <c r="D21" s="14" t="s">
        <v>3</v>
      </c>
      <c r="E21" s="1"/>
    </row>
    <row r="22" spans="1:5" x14ac:dyDescent="0.25">
      <c r="A22" s="1"/>
      <c r="B22" s="65" t="s">
        <v>29</v>
      </c>
      <c r="C22" s="9">
        <v>0</v>
      </c>
      <c r="D22" s="14" t="s">
        <v>3</v>
      </c>
      <c r="E22" s="1"/>
    </row>
    <row r="23" spans="1:5" x14ac:dyDescent="0.25">
      <c r="A23" s="1"/>
      <c r="B23" s="81" t="s">
        <v>208</v>
      </c>
      <c r="C23" s="57">
        <f>C20-C21-C22</f>
        <v>-439975.17822971195</v>
      </c>
      <c r="D23" s="17" t="s">
        <v>3</v>
      </c>
      <c r="E23" s="1"/>
    </row>
    <row r="24" spans="1:5" x14ac:dyDescent="0.25">
      <c r="A24" s="1"/>
      <c r="B24" s="33"/>
      <c r="C24" s="28"/>
      <c r="D24" s="19"/>
      <c r="E24" s="1"/>
    </row>
    <row r="25" spans="1:5" x14ac:dyDescent="0.25">
      <c r="A25" s="1"/>
      <c r="B25" s="1"/>
      <c r="C25" s="1"/>
      <c r="D25" s="1"/>
      <c r="E25" s="1"/>
    </row>
    <row r="26" spans="1:5" x14ac:dyDescent="0.25">
      <c r="A26" s="1"/>
      <c r="B26" s="107" t="s">
        <v>209</v>
      </c>
      <c r="C26" s="108"/>
      <c r="D26" s="109"/>
      <c r="E26" s="1"/>
    </row>
    <row r="27" spans="1:5" x14ac:dyDescent="0.25">
      <c r="A27" s="1"/>
      <c r="B27" s="81" t="s">
        <v>210</v>
      </c>
      <c r="C27" s="57">
        <f>IF(AND(C15&lt;0,C23&gt;0,ABS(SUM(C14:C15))&lt;C23),ABS(C14),IF(AND(C15&lt;0,C23&gt;0,ABS(SUM(C14:C15))&gt;C23),SUM(C14,C23),C15))</f>
        <v>-2340123</v>
      </c>
      <c r="D27" s="17" t="s">
        <v>3</v>
      </c>
      <c r="E27" s="1"/>
    </row>
    <row r="28" spans="1:5" x14ac:dyDescent="0.25">
      <c r="A28" s="1"/>
      <c r="B28" s="107"/>
      <c r="C28" s="108"/>
      <c r="D28" s="109"/>
      <c r="E28" s="1"/>
    </row>
    <row r="29" spans="1:5" x14ac:dyDescent="0.25">
      <c r="A29" s="1"/>
      <c r="B29" s="1"/>
      <c r="C29" s="1"/>
      <c r="D29" s="1"/>
      <c r="E29" s="1"/>
    </row>
    <row r="30" spans="1:5" x14ac:dyDescent="0.25">
      <c r="A30" s="1"/>
      <c r="B30" s="107" t="s">
        <v>211</v>
      </c>
      <c r="C30" s="108"/>
      <c r="D30" s="109"/>
      <c r="E30" s="1"/>
    </row>
    <row r="31" spans="1:5" x14ac:dyDescent="0.25">
      <c r="A31" s="1"/>
      <c r="B31" s="66" t="s">
        <v>69</v>
      </c>
      <c r="C31" s="58">
        <f>IF(AND(C9&gt;0,(C9+C23)&gt;0),0,IF(AND(C9&gt;0,(C9+C23)&lt;0),(C9+C23),IF(AND(C9&lt;0,C23&lt;0),C23,0)))</f>
        <v>-439975.17822971195</v>
      </c>
      <c r="D31" s="14" t="s">
        <v>3</v>
      </c>
      <c r="E31" s="1"/>
    </row>
    <row r="32" spans="1:5" x14ac:dyDescent="0.25">
      <c r="A32" s="1"/>
      <c r="B32" s="66" t="s">
        <v>49</v>
      </c>
      <c r="C32" s="9">
        <v>2</v>
      </c>
      <c r="D32" s="14" t="s">
        <v>20</v>
      </c>
      <c r="E32" s="1"/>
    </row>
    <row r="33" spans="1:5" x14ac:dyDescent="0.25">
      <c r="A33" s="1"/>
      <c r="B33" s="67" t="s">
        <v>70</v>
      </c>
      <c r="C33" s="57">
        <f>C31/C32</f>
        <v>-219987.58911485597</v>
      </c>
      <c r="D33" s="17" t="s">
        <v>3</v>
      </c>
      <c r="E33" s="1"/>
    </row>
    <row r="34" spans="1:5" x14ac:dyDescent="0.25">
      <c r="A34" s="1"/>
      <c r="B34" s="115"/>
      <c r="C34" s="116"/>
      <c r="D34" s="11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Z1RC0MthvvVEDKvWkqV4EY1T1ilZtZA6dkcnwaMgiTQkgAxaD/vKYM/YxFlUljwbPeWpyUh3bLtgQ77OFLGbIg==" saltValue="CGHDIfBBLisQroTeErvbu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7" t="s">
        <v>120</v>
      </c>
      <c r="C8" s="108"/>
      <c r="D8" s="109"/>
      <c r="E8" s="1"/>
    </row>
    <row r="9" spans="1:5" ht="15" customHeight="1" x14ac:dyDescent="0.25">
      <c r="A9" s="1"/>
      <c r="B9" s="121" t="s">
        <v>102</v>
      </c>
      <c r="C9" s="122"/>
      <c r="D9" s="123"/>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CX/OiEvP+NxCx9kAb+QMrjSlIkbUWt0cV7ZMwgoF1+QakPv3LklQ5ZEt3dTAKRww241XDsgLaVpi0lWF6/+Cw==" saltValue="soC0mfu7BGqmoGusAr6c5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171</v>
      </c>
      <c r="C8" s="108"/>
      <c r="D8" s="109"/>
      <c r="E8" s="1"/>
    </row>
    <row r="9" spans="1:5" ht="26.25" x14ac:dyDescent="0.25">
      <c r="A9" s="1"/>
      <c r="B9" s="78" t="s">
        <v>217</v>
      </c>
      <c r="C9" s="7"/>
      <c r="D9" s="8" t="s">
        <v>3</v>
      </c>
      <c r="E9" s="1"/>
    </row>
    <row r="10" spans="1:5" ht="14.25" customHeight="1" x14ac:dyDescent="0.25">
      <c r="A10" s="1"/>
      <c r="B10" s="65" t="s">
        <v>172</v>
      </c>
      <c r="C10" s="7"/>
      <c r="D10" s="8" t="s">
        <v>3</v>
      </c>
      <c r="E10" s="1"/>
    </row>
    <row r="11" spans="1:5" ht="14.25" customHeight="1" x14ac:dyDescent="0.25">
      <c r="A11" s="1"/>
      <c r="B11" s="81" t="s">
        <v>48</v>
      </c>
      <c r="C11" s="10">
        <f>C10-C9</f>
        <v>0</v>
      </c>
      <c r="D11" s="11" t="s">
        <v>3</v>
      </c>
      <c r="E11" s="1"/>
    </row>
    <row r="12" spans="1:5" ht="14.25" customHeight="1" x14ac:dyDescent="0.25">
      <c r="A12" s="1"/>
      <c r="B12" s="107" t="s">
        <v>219</v>
      </c>
      <c r="C12" s="108"/>
      <c r="D12" s="109"/>
      <c r="E12" s="1"/>
    </row>
    <row r="13" spans="1:5" ht="26.25" x14ac:dyDescent="0.25">
      <c r="A13" s="1"/>
      <c r="B13" s="78" t="s">
        <v>218</v>
      </c>
      <c r="C13" s="7">
        <v>2263664</v>
      </c>
      <c r="D13" s="8" t="s">
        <v>3</v>
      </c>
      <c r="E13" s="1"/>
    </row>
    <row r="14" spans="1:5" ht="14.25" customHeight="1" x14ac:dyDescent="0.25">
      <c r="A14" s="1"/>
      <c r="B14" s="65" t="s">
        <v>173</v>
      </c>
      <c r="C14" s="7">
        <v>1923725</v>
      </c>
      <c r="D14" s="8" t="s">
        <v>3</v>
      </c>
      <c r="E14" s="1"/>
    </row>
    <row r="15" spans="1:5" ht="14.25" customHeight="1" x14ac:dyDescent="0.25">
      <c r="A15" s="1"/>
      <c r="B15" s="81" t="s">
        <v>48</v>
      </c>
      <c r="C15" s="10">
        <f>C14-C13</f>
        <v>-339939</v>
      </c>
      <c r="D15" s="11" t="s">
        <v>3</v>
      </c>
      <c r="E15" s="1"/>
    </row>
    <row r="16" spans="1:5" ht="14.25" customHeight="1" x14ac:dyDescent="0.25">
      <c r="A16" s="1"/>
      <c r="B16" s="33" t="s">
        <v>174</v>
      </c>
      <c r="C16" s="12">
        <f>C11+C15</f>
        <v>-339939</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2O0Bt+E1yGFV2moDRfFzvvqFoJpHpZ+zX4fcRvIKSyJmJu8XT/oQhfsCN9TDbAbG/CmMjO3Kc/8g0jF1TUV7iw==" saltValue="b39FdglyGzkRjukFNVYDe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3" t="s">
        <v>113</v>
      </c>
      <c r="C3" s="103"/>
      <c r="D3" s="103"/>
      <c r="E3" s="103"/>
      <c r="F3" s="103"/>
      <c r="G3" s="103"/>
      <c r="H3" s="103"/>
      <c r="I3" s="103"/>
      <c r="J3" s="103"/>
      <c r="K3" s="103"/>
      <c r="L3" s="1"/>
    </row>
    <row r="4" spans="1:12" ht="15" customHeight="1" x14ac:dyDescent="0.25">
      <c r="A4" s="1"/>
      <c r="B4" s="103"/>
      <c r="C4" s="103"/>
      <c r="D4" s="103"/>
      <c r="E4" s="103"/>
      <c r="F4" s="103"/>
      <c r="G4" s="103"/>
      <c r="H4" s="103"/>
      <c r="I4" s="103"/>
      <c r="J4" s="103"/>
      <c r="K4" s="10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86</v>
      </c>
      <c r="C8" s="108"/>
      <c r="D8" s="108"/>
      <c r="E8" s="108"/>
      <c r="F8" s="108"/>
      <c r="G8" s="108"/>
      <c r="H8" s="108"/>
      <c r="I8" s="108"/>
      <c r="J8" s="108"/>
      <c r="K8" s="109"/>
      <c r="L8" s="1"/>
    </row>
    <row r="9" spans="1:12" ht="39.75" customHeight="1" x14ac:dyDescent="0.25">
      <c r="A9" s="1"/>
      <c r="B9" s="18" t="s">
        <v>0</v>
      </c>
      <c r="C9" s="18" t="s">
        <v>1</v>
      </c>
      <c r="D9" s="124" t="s">
        <v>96</v>
      </c>
      <c r="E9" s="125"/>
      <c r="F9" s="124" t="s">
        <v>2</v>
      </c>
      <c r="G9" s="125"/>
      <c r="H9" s="124" t="s">
        <v>95</v>
      </c>
      <c r="I9" s="125"/>
      <c r="J9" s="124" t="s">
        <v>26</v>
      </c>
      <c r="K9" s="125"/>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L4uk7L1G2BS3Y5neadrXZSIvk3tWRv3V3uMDQ+HBhhhEKp6YQkufzsD/Lota+iHxTgBnR39RoDh/88yPwwMmlA==" saltValue="oe4ejsIizqooEItx/Snnk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114</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88569</v>
      </c>
      <c r="D11" s="14" t="s">
        <v>3</v>
      </c>
      <c r="E11" s="9">
        <v>2379606</v>
      </c>
      <c r="F11" s="14" t="s">
        <v>3</v>
      </c>
      <c r="G11" s="1"/>
    </row>
    <row r="12" spans="1:7" x14ac:dyDescent="0.25">
      <c r="A12" s="1"/>
      <c r="B12" s="24" t="s">
        <v>235</v>
      </c>
      <c r="C12" s="21">
        <v>546221</v>
      </c>
      <c r="D12" s="14" t="s">
        <v>3</v>
      </c>
      <c r="E12" s="9">
        <v>1048924</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634790</v>
      </c>
      <c r="D19" s="13" t="s">
        <v>3</v>
      </c>
      <c r="E19" s="12">
        <f>SUM(E10:E18)</f>
        <v>3428530</v>
      </c>
      <c r="F19" s="13" t="s">
        <v>3</v>
      </c>
      <c r="G19" s="1"/>
    </row>
    <row r="20" spans="1:7" x14ac:dyDescent="0.25">
      <c r="A20" s="1"/>
      <c r="B20" s="33" t="s">
        <v>175</v>
      </c>
      <c r="C20" s="12">
        <f>C19*(1+'Fane 15. Nøgletal'!C10)</f>
        <v>676876.57700000005</v>
      </c>
      <c r="D20" s="13" t="s">
        <v>3</v>
      </c>
      <c r="E20" s="12">
        <f>E19*(1+'Fane 15. Nøgletal'!C10)</f>
        <v>3655841.5389999999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aTUFHbHh3szH/I/8mWTQbf0ervMgW6hkqdj/g92ADH75FxEfxY41CgJg6rKUVjds+/RqyqesMFpg9BnFj8ELA==" saltValue="kCblc6HKBwxc4UEz5TZ5J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115</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176</v>
      </c>
      <c r="C8" s="108"/>
      <c r="D8" s="108"/>
      <c r="E8" s="108"/>
      <c r="F8" s="109"/>
      <c r="G8" s="1"/>
    </row>
    <row r="9" spans="1:7" x14ac:dyDescent="0.25">
      <c r="A9" s="1"/>
      <c r="B9" s="79" t="s">
        <v>17</v>
      </c>
      <c r="C9" s="81" t="s">
        <v>11</v>
      </c>
      <c r="D9" s="80"/>
      <c r="E9" s="81" t="s">
        <v>27</v>
      </c>
      <c r="F9" s="32"/>
      <c r="G9" s="1"/>
    </row>
    <row r="10" spans="1:7" x14ac:dyDescent="0.25">
      <c r="A10" s="1"/>
      <c r="B10" s="24" t="s">
        <v>236</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6"/>
      <c r="C16" s="126"/>
      <c r="D16" s="126"/>
      <c r="E16" s="126"/>
      <c r="F16" s="126"/>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6"/>
      <c r="C29" s="126"/>
      <c r="D29" s="126"/>
      <c r="E29" s="126"/>
      <c r="F29" s="126"/>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uFJ7PZT2ognWfKH3OI/1ArEW0fdKTCelVOoLb8zx8Fh2qNcyZIboP0JSGH8EFKCEc1CZ9gUozjpkre/m1Uoug==" saltValue="Bw6+kDvEc1jm9iVKzr/6M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7" t="s">
        <v>73</v>
      </c>
      <c r="C8" s="108"/>
      <c r="D8" s="109"/>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7" t="s">
        <v>84</v>
      </c>
      <c r="C14" s="108"/>
      <c r="D14" s="109"/>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7" t="s">
        <v>140</v>
      </c>
      <c r="C20" s="108"/>
      <c r="D20" s="109"/>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7" t="s">
        <v>180</v>
      </c>
      <c r="C26" s="108"/>
      <c r="D26" s="109"/>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lSJFLzZrDjL9qt0EGR0U4UAXmbnyoLKmq7r0y8q4ERt18HDTNjjLFZvet1ddmU9PXLdNOard5Ipgkt8f5bzRNA==" saltValue="D642zLbPf/nMldmPiuhpE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7" t="s">
        <v>66</v>
      </c>
      <c r="C8" s="108"/>
      <c r="D8" s="108"/>
      <c r="E8" s="108"/>
      <c r="F8" s="109"/>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dtH/iJesA6XBxMTESdSQ94ragE/CgtAwrPujv23iKBmcfmuaSSF4ibc1QjI80J6YPfUhAxzSPJsjfu5a0WM4wg==" saltValue="teKZlpCd8YXZHcclIEhW5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7" t="s">
        <v>183</v>
      </c>
      <c r="C8" s="108"/>
      <c r="D8" s="108"/>
      <c r="E8" s="108"/>
      <c r="F8" s="109"/>
      <c r="G8" s="1"/>
    </row>
    <row r="9" spans="1:7" x14ac:dyDescent="0.25">
      <c r="A9" s="1"/>
      <c r="B9" s="31" t="s">
        <v>18</v>
      </c>
      <c r="C9" s="127" t="s">
        <v>11</v>
      </c>
      <c r="D9" s="128"/>
      <c r="E9" s="127" t="s">
        <v>27</v>
      </c>
      <c r="F9" s="128"/>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6"/>
      <c r="C14" s="126"/>
      <c r="D14" s="126"/>
      <c r="E14" s="126"/>
      <c r="F14" s="126"/>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6"/>
      <c r="C21" s="126"/>
      <c r="D21" s="126"/>
      <c r="E21" s="126"/>
      <c r="F21" s="126"/>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6"/>
      <c r="C27" s="126"/>
      <c r="D27" s="126"/>
      <c r="E27" s="126"/>
      <c r="F27" s="126"/>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58E98yJD1P9vJMWF65Zecq//bNPiIgPwU29euxl3kyGNGPGJudbBMjCPJ2MOnxdFvlw+rFhgRy2iybPputwTA==" saltValue="/Xgo8gqXbPRpFYp6oIp7W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155</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66937292.779259138</v>
      </c>
      <c r="D9" s="8" t="s">
        <v>3</v>
      </c>
      <c r="E9" s="1"/>
    </row>
    <row r="10" spans="1:5" ht="17.25" customHeight="1" x14ac:dyDescent="0.25">
      <c r="A10" s="1"/>
      <c r="B10" s="64" t="s">
        <v>35</v>
      </c>
      <c r="C10" s="7">
        <f>'Fane 11.1. Varige tillæg'!C20</f>
        <v>676876.57700000005</v>
      </c>
      <c r="D10" s="8" t="s">
        <v>3</v>
      </c>
      <c r="E10" s="1"/>
    </row>
    <row r="11" spans="1:5" ht="17.25" customHeight="1" x14ac:dyDescent="0.25">
      <c r="A11" s="1"/>
      <c r="B11" s="64" t="s">
        <v>36</v>
      </c>
      <c r="C11" s="9">
        <f>'Fane 11.1. Varige tillæg'!E20</f>
        <v>3655841.5389999999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5695792.4676549388</v>
      </c>
      <c r="D16" s="8" t="s">
        <v>3</v>
      </c>
      <c r="E16" s="1"/>
    </row>
    <row r="17" spans="1:5" ht="17.25" customHeight="1" x14ac:dyDescent="0.25">
      <c r="A17" s="1"/>
      <c r="B17" s="64" t="s">
        <v>10</v>
      </c>
      <c r="C17" s="38">
        <f>-SUM(C9,C10:C16)*'Fane 5. Individuelt eff. krav'!C9</f>
        <v>-878568.13370530738</v>
      </c>
      <c r="D17" s="8" t="s">
        <v>3</v>
      </c>
      <c r="E17" s="1"/>
    </row>
    <row r="18" spans="1:5" ht="17.25" customHeight="1" x14ac:dyDescent="0.25">
      <c r="A18" s="1"/>
      <c r="B18" s="64" t="s">
        <v>22</v>
      </c>
      <c r="C18" s="38">
        <f>-'Fane 4.1. Gen. krav - drift'!C17</f>
        <v>-400535.66188078222</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75686699.567328006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omk.'!C20+'Fane 6. Ikke-påvirkelige omk.'!C24+'Fane 6. Ikke-påvirkelige omk.'!C32</f>
        <v>2648693.9464702201</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-2340123</v>
      </c>
      <c r="D32" s="11" t="s">
        <v>3</v>
      </c>
      <c r="E32" s="1"/>
    </row>
    <row r="33" spans="1:5" ht="15" customHeight="1" x14ac:dyDescent="0.25">
      <c r="A33" s="1"/>
      <c r="B33" s="33" t="s">
        <v>154</v>
      </c>
      <c r="C33" s="28"/>
      <c r="D33" s="19"/>
      <c r="E33" s="1"/>
    </row>
    <row r="34" spans="1:5" x14ac:dyDescent="0.25">
      <c r="A34" s="1"/>
      <c r="B34" s="31" t="s">
        <v>154</v>
      </c>
      <c r="C34" s="10">
        <f>'Fane 9. Korrektion af ØR2023'!C16</f>
        <v>-339939</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75655331.513798222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8W4koSeS9UsgXbB0UdSadmep/vOetEPs9O9exH/s2y9eU7NNmFn1Wk5cJgLcbab7R3q+Y5VDwaZ1650kxXUKZw==" saltValue="wfXHjL1a5YzWMZ+GICRYQ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y0Qaw7ZiIr5GyCptuncAkBJQJ+Ag/GT7dM/GAwATIyxtux7qYEtClrOdIVkS25KhNyoNSgSnIvaE0fGKZPYi7A==" saltValue="1qlzMgF2ILEhJ35HeWAAJ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156</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75686699.567328006</v>
      </c>
      <c r="D9" s="8" t="s">
        <v>3</v>
      </c>
      <c r="E9" s="1"/>
    </row>
    <row r="10" spans="1:5" ht="15" customHeight="1" x14ac:dyDescent="0.25">
      <c r="A10" s="1"/>
      <c r="B10" s="26" t="s">
        <v>19</v>
      </c>
      <c r="C10" s="7">
        <f>C9*'Fane 15. Nøgletal'!C10</f>
        <v>5018028.1813138463</v>
      </c>
      <c r="D10" s="8" t="s">
        <v>3</v>
      </c>
      <c r="E10" s="1"/>
    </row>
    <row r="11" spans="1:5" ht="15" customHeight="1" x14ac:dyDescent="0.25">
      <c r="A11" s="1"/>
      <c r="B11" s="26" t="s">
        <v>10</v>
      </c>
      <c r="C11" s="9">
        <f>-SUM(C9:C10)*'Fane 5. Individuelt eff. krav'!C9</f>
        <v>-921248.12502749159</v>
      </c>
      <c r="D11" s="8" t="s">
        <v>3</v>
      </c>
      <c r="E11" s="1"/>
    </row>
    <row r="12" spans="1:5" ht="15" customHeight="1" x14ac:dyDescent="0.25">
      <c r="A12" s="1"/>
      <c r="B12" s="26" t="s">
        <v>22</v>
      </c>
      <c r="C12" s="9">
        <f>-'Fane 4.1. Gen. krav - drift'!C22</f>
        <v>-418549.35273820849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79364930.270876154</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Nøgletal'!C10)+'Fane 6. Ikke-påvirkelige omk.'!C25+'Fane 6. Ikke-påvirkelige omk.'!C33</f>
        <v>3976119.4319211957</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-219987.58911485597</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83121062.113682494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EwiQObMBu/xHEe93V26B2bZI4iskqwtn/91kqYoYFJF5Zi78+zkIW+bSrePPqX1woScULGofB8dMoOC+9IC8Q==" saltValue="LsjnMQ9j1lJJquxfyqDGp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157</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79364930.270876154</v>
      </c>
      <c r="D9" s="8" t="s">
        <v>3</v>
      </c>
      <c r="E9" s="1"/>
    </row>
    <row r="10" spans="1:5" ht="15" customHeight="1" x14ac:dyDescent="0.25">
      <c r="A10" s="1"/>
      <c r="B10" s="26" t="s">
        <v>19</v>
      </c>
      <c r="C10" s="7">
        <f>SUM(C9:C9)*'Fane 15. Nøgletal'!C10</f>
        <v>5261894.8769590892</v>
      </c>
      <c r="D10" s="8" t="s">
        <v>3</v>
      </c>
      <c r="E10" s="1"/>
    </row>
    <row r="11" spans="1:5" ht="15" customHeight="1" x14ac:dyDescent="0.25">
      <c r="A11" s="1"/>
      <c r="B11" s="26" t="s">
        <v>10</v>
      </c>
      <c r="C11" s="9">
        <f>-SUM(C9:C10)*'Fane 5. Individuelt eff. krav'!C9</f>
        <v>-966019.04460032808</v>
      </c>
      <c r="D11" s="8" t="s">
        <v>3</v>
      </c>
      <c r="E11" s="1"/>
    </row>
    <row r="12" spans="1:5" ht="15" customHeight="1" x14ac:dyDescent="0.25">
      <c r="A12" s="1"/>
      <c r="B12" s="26" t="s">
        <v>22</v>
      </c>
      <c r="C12" s="9">
        <f>-'Fane 4.1. Gen. krav - drift'!C27</f>
        <v>-437373.19132825668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83223432.91190666</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Nøgletal'!C10)^2+'Fane 6. Ikke-påvirkelige omk.'!C26+'Fane 6. Ikke-påvirkelige omk.'!C34</f>
        <v>4017901.389657571</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-219987.58911485597</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87021346.712449372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3LYCVpHANQSMtbPy0BuMrlpHCMHYOYE9V7zsTTYzVAEHbrM/SgK8TJFs5B7lF17rmJb0YtA6cXRGqRb56WctQ==" saltValue="g/sgyPh+R8Bi2CBv5E49e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158</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83223432.91190666</v>
      </c>
      <c r="D9" s="8" t="s">
        <v>3</v>
      </c>
      <c r="E9" s="1"/>
    </row>
    <row r="10" spans="1:5" ht="15" customHeight="1" x14ac:dyDescent="0.25">
      <c r="A10" s="1"/>
      <c r="B10" s="26" t="s">
        <v>19</v>
      </c>
      <c r="C10" s="7">
        <f>SUM(C9:C9)*'Fane 15. Nøgletal'!C10</f>
        <v>5517713.6020594109</v>
      </c>
      <c r="D10" s="8" t="s">
        <v>3</v>
      </c>
      <c r="E10" s="1"/>
    </row>
    <row r="11" spans="1:5" ht="15" customHeight="1" x14ac:dyDescent="0.25">
      <c r="A11" s="1"/>
      <c r="B11" s="26" t="s">
        <v>10</v>
      </c>
      <c r="C11" s="9">
        <f>-SUM(C9:C10)*'Fane 5. Individuelt eff. krav'!C9</f>
        <v>-1012984.2094679137</v>
      </c>
      <c r="D11" s="8" t="s">
        <v>3</v>
      </c>
      <c r="E11" s="1"/>
    </row>
    <row r="12" spans="1:5" ht="15" customHeight="1" x14ac:dyDescent="0.25">
      <c r="A12" s="1"/>
      <c r="B12" s="26" t="s">
        <v>22</v>
      </c>
      <c r="C12" s="9">
        <f>-'Fane 4.1. Gen. krav - drift'!C32</f>
        <v>-457043.61323505366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87271118.691263095</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Nøgletal'!C10)^3+'Fane 6. Ikke-påvirkelige omk.'!C27+'Fane 6. Ikke-påvirkelige omk.'!C35</f>
        <v>4061707.0305918679</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91332825.721854955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7y4r1Ylr2KEisWIdVZhIxkOCFCmFoLUl3tIbskC1IcsB9WfBLPuOVi8vZmwYO2HMiAQRa0Zo2suh1Efhcf1Gg==" saltValue="PkMVrjWLnaV6pK0SnaXw8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60472814.42922277</v>
      </c>
      <c r="D9" s="8" t="s">
        <v>3</v>
      </c>
      <c r="E9" s="1"/>
    </row>
    <row r="10" spans="1:5" ht="15" customHeight="1" x14ac:dyDescent="0.25">
      <c r="A10" s="1"/>
      <c r="B10" s="64" t="s">
        <v>35</v>
      </c>
      <c r="C10" s="7">
        <v>352280.27519999997</v>
      </c>
      <c r="D10" s="8" t="s">
        <v>3</v>
      </c>
      <c r="E10" s="1"/>
    </row>
    <row r="11" spans="1:5" ht="15" customHeight="1" x14ac:dyDescent="0.25">
      <c r="A11" s="1"/>
      <c r="B11" s="64" t="s">
        <v>36</v>
      </c>
      <c r="C11" s="9">
        <v>2164305.2423999999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5089543.5157032795</v>
      </c>
      <c r="D16" s="8" t="s">
        <v>3</v>
      </c>
      <c r="E16" s="1"/>
    </row>
    <row r="17" spans="1:5" ht="15" customHeight="1" x14ac:dyDescent="0.25">
      <c r="A17" s="1"/>
      <c r="B17" s="64" t="s">
        <v>10</v>
      </c>
      <c r="C17" s="38">
        <v>-777124.2251636266</v>
      </c>
      <c r="D17" s="8" t="s">
        <v>3</v>
      </c>
      <c r="E17" s="1"/>
    </row>
    <row r="18" spans="1:5" ht="15" customHeight="1" x14ac:dyDescent="0.25">
      <c r="A18" s="1"/>
      <c r="B18" s="64" t="s">
        <v>22</v>
      </c>
      <c r="C18" s="38">
        <v>-364526.45810329507</v>
      </c>
      <c r="D18" s="8" t="s">
        <v>3</v>
      </c>
      <c r="E18" s="1"/>
    </row>
    <row r="19" spans="1:5" ht="15" customHeight="1" x14ac:dyDescent="0.25">
      <c r="A19" s="1"/>
      <c r="B19" s="64" t="s">
        <v>23</v>
      </c>
      <c r="C19" s="38">
        <v>0</v>
      </c>
      <c r="D19" s="8" t="s">
        <v>3</v>
      </c>
      <c r="E19" s="43"/>
    </row>
    <row r="20" spans="1:5" ht="15" customHeight="1" x14ac:dyDescent="0.25">
      <c r="A20" s="1"/>
      <c r="B20" s="81" t="s">
        <v>21</v>
      </c>
      <c r="C20" s="10">
        <v>66937292.779259138</v>
      </c>
      <c r="D20" s="11" t="s">
        <v>3</v>
      </c>
      <c r="E20" s="1"/>
    </row>
    <row r="21" spans="1:5" ht="15" customHeight="1" x14ac:dyDescent="0.25">
      <c r="A21" s="1"/>
      <c r="B21" s="33" t="s">
        <v>12</v>
      </c>
      <c r="C21" s="28"/>
      <c r="D21" s="19"/>
      <c r="E21" s="1"/>
    </row>
    <row r="22" spans="1:5" ht="15" customHeight="1" x14ac:dyDescent="0.25">
      <c r="A22" s="1"/>
      <c r="B22" s="31" t="s">
        <v>12</v>
      </c>
      <c r="C22" s="10">
        <v>2979347.2145119999</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-2340122.7767628916</v>
      </c>
      <c r="D32" s="11" t="s">
        <v>3</v>
      </c>
      <c r="E32" s="1"/>
    </row>
    <row r="33" spans="1:5" x14ac:dyDescent="0.25">
      <c r="A33" s="1"/>
      <c r="B33" s="33" t="s">
        <v>128</v>
      </c>
      <c r="C33" s="28"/>
      <c r="D33" s="19"/>
      <c r="E33" s="1"/>
    </row>
    <row r="34" spans="1:5" ht="15.4" customHeight="1" x14ac:dyDescent="0.25">
      <c r="A34" s="1"/>
      <c r="B34" s="31" t="s">
        <v>128</v>
      </c>
      <c r="C34" s="10">
        <v>-588220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452426.31864727428</v>
      </c>
      <c r="D38" s="11" t="s">
        <v>3</v>
      </c>
      <c r="E38" s="1"/>
    </row>
    <row r="39" spans="1:5" x14ac:dyDescent="0.25">
      <c r="A39" s="1"/>
      <c r="B39" s="33" t="s">
        <v>65</v>
      </c>
      <c r="C39" s="45">
        <v>67440723.535655528</v>
      </c>
      <c r="D39" s="30" t="s">
        <v>3</v>
      </c>
      <c r="E39" s="1"/>
    </row>
    <row r="40" spans="1:5" ht="30" customHeight="1" x14ac:dyDescent="0.25">
      <c r="A40" s="1"/>
      <c r="B40" s="105" t="s">
        <v>225</v>
      </c>
      <c r="C40" s="105"/>
      <c r="D40" s="105"/>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96mF2XThqnGymn+6kDYIGb7rl1b+vWKqp10r05cMnN+j55QTUCc3M/OslP6KdwE6bEIqWpVx+Fmc7SOKbC5CAA==" saltValue="LYbbPBpwAg6bdHBEjJW5ew=="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123</v>
      </c>
      <c r="C8" s="108"/>
      <c r="D8" s="109"/>
      <c r="E8" s="1"/>
    </row>
    <row r="9" spans="1:5" x14ac:dyDescent="0.25">
      <c r="A9" s="1"/>
      <c r="B9" s="65" t="s">
        <v>88</v>
      </c>
      <c r="C9" s="23">
        <v>17845578.383728582</v>
      </c>
      <c r="D9" s="14" t="s">
        <v>3</v>
      </c>
      <c r="E9" s="1"/>
    </row>
    <row r="10" spans="1:5" x14ac:dyDescent="0.25">
      <c r="A10" s="1"/>
      <c r="B10" s="65" t="s">
        <v>125</v>
      </c>
      <c r="C10" s="23">
        <f>('Fane 3. Omkostninger i ØR2024'!C10+'Fane 3. Omkostninger i ØR2024'!C12+'Fane 3. Omkostninger i ØR2024'!C14)*(1+'Fane 15. Nøgletal'!C9)</f>
        <v>380744.52143615996</v>
      </c>
      <c r="D10" s="14" t="s">
        <v>3</v>
      </c>
      <c r="E10" s="1"/>
    </row>
    <row r="11" spans="1:5" x14ac:dyDescent="0.25">
      <c r="A11" s="1"/>
      <c r="B11" s="65" t="s">
        <v>131</v>
      </c>
      <c r="C11" s="23">
        <f>C9*'Fane 15. Nøgletal'!C21+C10*'Fane 15. Nøgletal'!C21</f>
        <v>364526.45810329483</v>
      </c>
      <c r="D11" s="14" t="s">
        <v>3</v>
      </c>
      <c r="E11" s="1"/>
    </row>
    <row r="12" spans="1:5" x14ac:dyDescent="0.25">
      <c r="A12" s="1"/>
      <c r="B12" s="33"/>
      <c r="C12" s="28"/>
      <c r="D12" s="19"/>
      <c r="E12" s="1"/>
    </row>
    <row r="13" spans="1:5" x14ac:dyDescent="0.25">
      <c r="A13" s="1"/>
      <c r="B13" s="1"/>
      <c r="C13" s="1"/>
      <c r="D13" s="1"/>
      <c r="E13" s="1"/>
    </row>
    <row r="14" spans="1:5" x14ac:dyDescent="0.25">
      <c r="A14" s="1"/>
      <c r="B14" s="107" t="s">
        <v>124</v>
      </c>
      <c r="C14" s="108"/>
      <c r="D14" s="109"/>
      <c r="E14" s="1"/>
    </row>
    <row r="15" spans="1:5" x14ac:dyDescent="0.25">
      <c r="A15" s="1"/>
      <c r="B15" s="65" t="s">
        <v>133</v>
      </c>
      <c r="C15" s="23">
        <f>(C9+C10-C11)*(1+'Fane 15. Nøgletal'!C9)</f>
        <v>19305029.599984009</v>
      </c>
      <c r="D15" s="14" t="s">
        <v>3</v>
      </c>
      <c r="E15" s="1"/>
    </row>
    <row r="16" spans="1:5" x14ac:dyDescent="0.25">
      <c r="A16" s="1"/>
      <c r="B16" s="65" t="s">
        <v>184</v>
      </c>
      <c r="C16" s="23">
        <f>('Fane 2.1. Økonomisk ramme 2025'!C10+'Fane 2.1. Økonomisk ramme 2025'!C12+'Fane 2.1. Økonomisk ramme 2025'!C14)*(1+'Fane 15. Nøgletal'!C10)</f>
        <v>721753.49405510002</v>
      </c>
      <c r="D16" s="14" t="s">
        <v>3</v>
      </c>
      <c r="E16" s="1"/>
    </row>
    <row r="17" spans="1:5" x14ac:dyDescent="0.25">
      <c r="A17" s="1"/>
      <c r="B17" s="65" t="s">
        <v>132</v>
      </c>
      <c r="C17" s="23">
        <f>C15*'Fane 15. Nøgletal'!C21+C16*'Fane 15. Nøgletal'!C21</f>
        <v>400535.66188078222</v>
      </c>
      <c r="D17" s="14" t="s">
        <v>3</v>
      </c>
      <c r="E17" s="1"/>
    </row>
    <row r="18" spans="1:5" x14ac:dyDescent="0.25">
      <c r="A18" s="1"/>
      <c r="B18" s="33"/>
      <c r="C18" s="28"/>
      <c r="D18" s="19"/>
      <c r="E18" s="1"/>
    </row>
    <row r="19" spans="1:5" x14ac:dyDescent="0.25">
      <c r="A19" s="1"/>
      <c r="B19" s="1"/>
      <c r="C19" s="63"/>
      <c r="D19" s="1"/>
      <c r="E19" s="1"/>
    </row>
    <row r="20" spans="1:5" x14ac:dyDescent="0.25">
      <c r="A20" s="1"/>
      <c r="B20" s="107" t="s">
        <v>145</v>
      </c>
      <c r="C20" s="108"/>
      <c r="D20" s="109"/>
      <c r="E20" s="1"/>
    </row>
    <row r="21" spans="1:5" x14ac:dyDescent="0.25">
      <c r="A21" s="1"/>
      <c r="B21" s="65" t="s">
        <v>189</v>
      </c>
      <c r="C21" s="23">
        <f>(C15+C16-C17)*(1+'Fane 15. Nøgletal'!C10)</f>
        <v>20927467.636910424</v>
      </c>
      <c r="D21" s="14" t="s">
        <v>3</v>
      </c>
      <c r="E21" s="1"/>
    </row>
    <row r="22" spans="1:5" x14ac:dyDescent="0.25">
      <c r="A22" s="1"/>
      <c r="B22" s="65" t="s">
        <v>196</v>
      </c>
      <c r="C22" s="23">
        <f>C21*'Fane 15. Nøgletal'!C21</f>
        <v>418549.35273820849</v>
      </c>
      <c r="D22" s="14" t="s">
        <v>3</v>
      </c>
      <c r="E22" s="1"/>
    </row>
    <row r="23" spans="1:5" x14ac:dyDescent="0.25">
      <c r="A23" s="1"/>
      <c r="B23" s="33"/>
      <c r="C23" s="28"/>
      <c r="D23" s="19"/>
      <c r="E23" s="1"/>
    </row>
    <row r="24" spans="1:5" x14ac:dyDescent="0.25">
      <c r="A24" s="1"/>
      <c r="B24" s="1"/>
      <c r="C24" s="1"/>
      <c r="D24" s="1"/>
      <c r="E24" s="1"/>
    </row>
    <row r="25" spans="1:5" x14ac:dyDescent="0.25">
      <c r="A25" s="1"/>
      <c r="B25" s="107" t="s">
        <v>187</v>
      </c>
      <c r="C25" s="108"/>
      <c r="D25" s="109"/>
      <c r="E25" s="1"/>
    </row>
    <row r="26" spans="1:5" x14ac:dyDescent="0.25">
      <c r="A26" s="1"/>
      <c r="B26" s="65" t="s">
        <v>190</v>
      </c>
      <c r="C26" s="23">
        <f>(C21-C22)*(1+'Fane 15. Nøgletal'!C10)</f>
        <v>21868659.566412833</v>
      </c>
      <c r="D26" s="14" t="s">
        <v>3</v>
      </c>
      <c r="E26" s="1"/>
    </row>
    <row r="27" spans="1:5" x14ac:dyDescent="0.25">
      <c r="A27" s="1"/>
      <c r="B27" s="65" t="s">
        <v>194</v>
      </c>
      <c r="C27" s="23">
        <f>C26*'Fane 15. Nøgletal'!C21</f>
        <v>437373.19132825668</v>
      </c>
      <c r="D27" s="14" t="s">
        <v>3</v>
      </c>
      <c r="E27" s="1"/>
    </row>
    <row r="28" spans="1:5" x14ac:dyDescent="0.25">
      <c r="A28" s="1"/>
      <c r="B28" s="33"/>
      <c r="C28" s="28"/>
      <c r="D28" s="19"/>
      <c r="E28" s="1"/>
    </row>
    <row r="29" spans="1:5" x14ac:dyDescent="0.25">
      <c r="A29" s="1"/>
      <c r="B29" s="1"/>
      <c r="C29" s="1"/>
      <c r="D29" s="1"/>
      <c r="E29" s="1"/>
    </row>
    <row r="30" spans="1:5" x14ac:dyDescent="0.25">
      <c r="A30" s="1"/>
      <c r="B30" s="107" t="s">
        <v>188</v>
      </c>
      <c r="C30" s="108"/>
      <c r="D30" s="109"/>
      <c r="E30" s="1"/>
    </row>
    <row r="31" spans="1:5" x14ac:dyDescent="0.25">
      <c r="A31" s="1"/>
      <c r="B31" s="65" t="s">
        <v>191</v>
      </c>
      <c r="C31" s="23">
        <f>(C26-C27)*(1+'Fane 15. Nøgletal'!C10)</f>
        <v>22852180.661752682</v>
      </c>
      <c r="D31" s="14" t="s">
        <v>3</v>
      </c>
      <c r="E31" s="1"/>
    </row>
    <row r="32" spans="1:5" x14ac:dyDescent="0.25">
      <c r="A32" s="1"/>
      <c r="B32" s="65" t="s">
        <v>195</v>
      </c>
      <c r="C32" s="23">
        <f>C31*'Fane 15. Nøgletal'!C21</f>
        <v>457043.61323505366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xNf/5vlVfzjUZO2OoMA/hze2HIurCRmdEzlsALlcGLmwi96X0R9OGAtEA2EnzULSP7cgJFTWPAroTFbkX6Pug==" saltValue="ZCmuqzxqom5uJaFseRIsN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35">
      <c r="A6" s="1"/>
      <c r="B6" s="69"/>
      <c r="C6" s="69"/>
      <c r="D6" s="69"/>
      <c r="E6" s="1"/>
    </row>
    <row r="7" spans="1:5" x14ac:dyDescent="0.25">
      <c r="A7" s="1"/>
      <c r="B7" s="1"/>
      <c r="C7" s="1"/>
      <c r="D7" s="1"/>
      <c r="E7" s="1"/>
    </row>
    <row r="8" spans="1:5" x14ac:dyDescent="0.25">
      <c r="A8" s="1"/>
      <c r="B8" s="107" t="s">
        <v>147</v>
      </c>
      <c r="C8" s="108"/>
      <c r="D8" s="109"/>
      <c r="E8" s="1"/>
    </row>
    <row r="9" spans="1:5" x14ac:dyDescent="0.25">
      <c r="A9" s="1"/>
      <c r="B9" s="65" t="s">
        <v>134</v>
      </c>
      <c r="C9" s="23">
        <v>48015992.208377883</v>
      </c>
      <c r="D9" s="14" t="s">
        <v>3</v>
      </c>
      <c r="E9" s="1"/>
    </row>
    <row r="10" spans="1:5" x14ac:dyDescent="0.25">
      <c r="A10" s="1"/>
      <c r="B10" s="65" t="s">
        <v>126</v>
      </c>
      <c r="C10" s="23">
        <f>('Fane 3. Omkostninger i ØR2024'!C11+'Fane 3. Omkostninger i ØR2024'!C13+'Fane 3. Omkostninger i ØR2024'!C15)*(1+'Fane 15. Nøgletal'!C9)</f>
        <v>2339181.1059859199</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7" t="s">
        <v>146</v>
      </c>
      <c r="C14" s="108"/>
      <c r="D14" s="109"/>
      <c r="E14" s="1"/>
    </row>
    <row r="15" spans="1:5" x14ac:dyDescent="0.25">
      <c r="A15" s="1"/>
      <c r="B15" s="65" t="s">
        <v>136</v>
      </c>
      <c r="C15" s="23">
        <f>(C9+C10-C11)*(1+'Fane 15. Nøgletal'!C9)</f>
        <v>54423871.318164393</v>
      </c>
      <c r="D15" s="14" t="s">
        <v>3</v>
      </c>
      <c r="E15" s="1"/>
    </row>
    <row r="16" spans="1:5" x14ac:dyDescent="0.25">
      <c r="A16" s="1"/>
      <c r="B16" s="65" t="s">
        <v>185</v>
      </c>
      <c r="C16" s="23">
        <f>('Fane 2.1. Økonomisk ramme 2025'!C11+'Fane 2.1. Økonomisk ramme 2025'!C13+'Fane 2.1. Økonomisk ramme 2025'!C15)*(1+'Fane 15. Nøgletal'!C10)</f>
        <v>3898223.8330357</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7" t="s">
        <v>82</v>
      </c>
      <c r="C20" s="108"/>
      <c r="D20" s="109"/>
      <c r="E20" s="1"/>
    </row>
    <row r="21" spans="1:5" x14ac:dyDescent="0.25">
      <c r="A21" s="1"/>
      <c r="B21" s="65" t="s">
        <v>192</v>
      </c>
      <c r="C21" s="23">
        <f>(C15+C16-C17)*(1+'Fane 15. Nøgletal'!C10)</f>
        <v>62188850.059724659</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7" t="s">
        <v>138</v>
      </c>
      <c r="C25" s="108"/>
      <c r="D25" s="109"/>
      <c r="E25" s="1"/>
    </row>
    <row r="26" spans="1:5" x14ac:dyDescent="0.25">
      <c r="A26" s="1"/>
      <c r="B26" s="65" t="s">
        <v>193</v>
      </c>
      <c r="C26" s="23">
        <f>(C21-C22)*(1+'Fane 15. Nøgletal'!C10)</f>
        <v>66311970.818684407</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7" t="s">
        <v>163</v>
      </c>
      <c r="C30" s="108"/>
      <c r="D30" s="109"/>
      <c r="E30" s="1"/>
    </row>
    <row r="31" spans="1:5" x14ac:dyDescent="0.25">
      <c r="A31" s="1"/>
      <c r="B31" s="65" t="s">
        <v>200</v>
      </c>
      <c r="C31" s="23">
        <f>(C26-C27)*(1+'Fane 15. Nøgletal'!C10)</f>
        <v>70708454.483963192</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gyLKZXwM5tYU52dW5RCgvUgaf7F38vPTK9dQxrOvqDpLMOhM4FWEY1f4H4KHkNHArVi+Qh4sZvuh8MBhkxeCw==" saltValue="lJbX94yenZIRriR/xy5w6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3" t="s">
        <v>44</v>
      </c>
      <c r="C3" s="103"/>
      <c r="D3" s="1"/>
    </row>
    <row r="4" spans="1:4" ht="1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7" t="s">
        <v>10</v>
      </c>
      <c r="C8" s="109"/>
      <c r="D8" s="1"/>
    </row>
    <row r="9" spans="1:4" x14ac:dyDescent="0.25">
      <c r="A9" s="1"/>
      <c r="B9" s="65" t="s">
        <v>164</v>
      </c>
      <c r="C9" s="22">
        <v>1.141504532295501E-2</v>
      </c>
      <c r="D9" s="1"/>
    </row>
    <row r="10" spans="1:4" x14ac:dyDescent="0.25">
      <c r="A10" s="1"/>
      <c r="B10" s="33"/>
      <c r="C10" s="19"/>
      <c r="D10" s="1"/>
    </row>
    <row r="11" spans="1:4" x14ac:dyDescent="0.25">
      <c r="A11" s="1"/>
      <c r="B11" s="111" t="s">
        <v>220</v>
      </c>
      <c r="C11" s="112"/>
      <c r="D11" s="1"/>
    </row>
    <row r="12" spans="1:4" x14ac:dyDescent="0.25">
      <c r="A12" s="1"/>
      <c r="B12" s="113"/>
      <c r="C12" s="114"/>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Qub4+22iEx5KiZLIBo5vvBZFhVCqoN9y93O/QpqwqLDh9QmZjIUbtG+tOoTFxTR5kN2IqLB5kNWEs+ZFBDtEwg==" saltValue="Ce2obhIGjEgp7qEwhxThw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2024-08-21T11:42:55Z</dcterms:modified>
</cp:coreProperties>
</file>