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Tønder Spildevand AS (S09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15" l="1"/>
  <c r="C20" i="23"/>
  <c r="C20" i="22"/>
  <c r="E28" i="32"/>
  <c r="C32" i="2" s="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<sst xmlns="http://schemas.openxmlformats.org/spreadsheetml/2006/main" count="612" uniqueCount="290">
  <si>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</si>
  <si>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</si>
  <si>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</si>
  <si>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</si>
  <si>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</si>
  <si>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</si>
  <si>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</si>
  <si>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</si>
  <si>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</si>
  <si>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</si>
  <si>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</si>
  <si>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</si>
  <si>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</si>
  <si>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</si>
  <si>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</si>
  <si>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</si>
  <si>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</si>
  <si>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</si>
  <si>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</si>
  <si>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</si>
  <si>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</si>
  <si>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</si>
  <si>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</si>
  <si>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</si>
  <si>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</si>
  <si>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</si>
  <si>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</si>
  <si>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</si>
  <si>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</si>
  <si>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</si>
  <si>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</si>
  <si>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</si>
  <si>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</si>
  <si>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</si>
  <si>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</si>
  <si>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</si>
  <si>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</si>
  <si>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</si>
  <si>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</si>
  <si>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</si>
  <si>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</si>
  <si>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</si>
  <si>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</si>
  <si>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</si>
  <si>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</si>
  <si>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</si>
  <si>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</si>
  <si>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</si>
  <si>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</si>
  <si>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</si>
  <si>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</si>
  <si>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</si>
  <si>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</si>
  <si>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</si>
  <si>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</si>
  <si>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</si>
  <si>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</si>
  <si>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</si>
  <si>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</si>
  <si>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</si>
  <si>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</si>
  <si>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</si>
  <si>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</si>
  <si>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</si>
  <si>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</si>
  <si>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</si>
  <si>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</si>
  <si>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</si>
  <si>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</si>
  <si>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</si>
  <si>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</si>
  <si>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</si>
  <si>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</si>
  <si>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</si>
  <si>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</si>
  <si>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</si>
  <si>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</si>
  <si>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</si>
  <si>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</si>
  <si>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</si>
  <si>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</si>
  <si>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</si>
  <si>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</si>
  <si>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</si>
  <si>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</si>
  <si>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</si>
  <si>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</si>
  <si>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</si>
  <si>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</si>
  <si>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</si>
  <si>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</si>
  <si>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</si>
  <si>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</si>
  <si>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</si>
  <si>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</si>
  <si>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</si>
  <si>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</si>
  <si>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</si>
  <si>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</si>
  <si>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</si>
  <si>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</si>
  <si>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</si>
  <si>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</si>
  <si>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</si>
  <si>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</si>
  <si>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</si>
  <si>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</si>
  <si>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</si>
  <si>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</si>
  <si>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</si>
  <si>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</si>
  <si>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</si>
  <si>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</si>
  <si>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</si>
  <si>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</si>
  <si>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</si>
  <si>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</si>
  <si>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</si>
  <si>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</si>
  <si>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</si>
  <si>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</si>
  <si>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</si>
  <si>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</si>
  <si>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</si>
  <si>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</si>
  <si>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</si>
  <si>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</si>
  <si>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</si>
  <si>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</si>
  <si>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</si>
  <si>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</si>
  <si>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</si>
  <si>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</si>
  <si>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</si>
  <si>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</si>
  <si>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</si>
  <si>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</si>
  <si>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</si>
  <si>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</si>
  <si>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</si>
  <si>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</si>
  <si>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</si>
  <si>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</si>
  <si>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</si>
  <si>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</si>
  <si>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</si>
  <si>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</si>
  <si>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</si>
  <si>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</si>
  <si>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</si>
  <si>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</si>
  <si>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</si>
  <si>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</si>
  <si>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</si>
  <si>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</si>
  <si>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</si>
  <si>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</si>
  <si>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</si>
  <si>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</si>
  <si>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</si>
  <si>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</si>
  <si>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</si>
  <si>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</si>
  <si>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</si>
  <si>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</si>
  <si>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</si>
  <si>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</si>
  <si>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</si>
  <si>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</si>
  <si>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</si>
  <si>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</si>
  <si>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</si>
  <si>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</si>
  <si>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</si>
  <si>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</si>
  <si>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</si>
  <si>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</si>
  <si>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</si>
  <si>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</si>
  <si>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</si>
  <si>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</si>
  <si>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</si>
  <si>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</si>
  <si>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</si>
  <si>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</si>
  <si>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</si>
  <si>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</si>
  <si>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</si>
  <si>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</si>
  <si>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</si>
  <si>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</si>
  <si>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</si>
  <si>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</si>
  <si>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</si>
  <si>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</si>
  <si>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</si>
  <si>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</si>
  <si>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</si>
  <si>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</si>
  <si>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</si>
  <si>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</si>
  <si>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</si>
  <si>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</si>
  <si>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</si>
  <si>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</si>
  <si>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</si>
  <si>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</si>
  <si>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</si>
  <si>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</si>
  <si>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</si>
  <si>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</si>
  <si>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</si>
  <si>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</si>
  <si>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</si>
  <si>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</si>
  <si>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</si>
  <si>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</si>
  <si>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</si>
  <si>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</si>
  <si>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</si>
  <si>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</si>
  <si>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</si>
  <si>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</si>
  <si>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</si>
  <si>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</si>
  <si>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</si>
  <si>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</si>
  <si>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</si>
  <si>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</si>
  <si>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</si>
  <si>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</si>
  <si>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</si>
  <si>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</si>
  <si>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</si>
  <si>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</si>
  <si>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</si>
  <si>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</si>
  <si>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</si>
  <si>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</si>
  <si>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</si>
  <si>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</si>
  <si>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</si>
  <si>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</si>
  <si>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</si>
  <si>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</si>
  <si>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</si>
  <si>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</si>
  <si>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</si>
  <si>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</si>
  <si>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</si>
  <si>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</si>
  <si>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</si>
  <si>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</si>
  <si>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</si>
  <si>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</si>
  <si>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</si>
  <si>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</si>
  <si>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</si>
  <si>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</si>
  <si>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</si>
  <si>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</si>
  <si>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</si>
  <si>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</si>
  <si>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</si>
  <si>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</si>
  <si>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</si>
  <si>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</si>
  <si>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</si>
  <si>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</si>
  <si>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</si>
  <si>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</si>
  <si>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</si>
  <si>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Erstatninger</t>
  </si>
  <si>
    <t>Ingen anlægsprojekter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</si>
  <si>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</si>
  <si>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</si>
  <si>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</si>
  <si>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</si>
  <si>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</si>
  <si>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</si>
  <si>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</si>
  <si>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</si>
  <si>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</si>
  <si>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</si>
  <si>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Diverse mål</t>
  </si>
  <si>
    <t>Udvidelse af forsyningsområdet</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</si>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</sst>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xf6ILbtmMMFL4x6cq6J4m9ZTnjdPlj9axGR+oov35BydgsleeBYMkw8dTqNgULf0Z+S3mL8OaRW6NkYuYTydKQ==" saltValue="3Z7UtPQYINeoCyi3Mmvlr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7" t="s">
        <v>32</v>
      </c>
      <c r="C9" s="61" t="s">
        <v>242</v>
      </c>
      <c r="D9" s="11"/>
      <c r="E9" s="1"/>
      <c r="F9" s="1"/>
    </row>
    <row r="10" spans="1:6" x14ac:dyDescent="0.25">
      <c r="A10" s="1"/>
      <c r="B10" s="92" t="s">
        <v>268</v>
      </c>
      <c r="C10" s="9">
        <v>2396458</v>
      </c>
      <c r="D10" s="14" t="s">
        <v>3</v>
      </c>
      <c r="E10" s="1"/>
      <c r="F10" s="1"/>
    </row>
    <row r="11" spans="1:6" x14ac:dyDescent="0.25">
      <c r="A11" s="1"/>
      <c r="B11" s="92" t="s">
        <v>269</v>
      </c>
      <c r="C11" s="9">
        <v>112298</v>
      </c>
      <c r="D11" s="14" t="s">
        <v>3</v>
      </c>
      <c r="E11" s="1"/>
      <c r="F11" s="1"/>
    </row>
    <row r="12" spans="1:6" x14ac:dyDescent="0.25">
      <c r="A12" s="1"/>
      <c r="B12" s="92" t="s">
        <v>270</v>
      </c>
      <c r="C12" s="9">
        <v>329120</v>
      </c>
      <c r="D12" s="14" t="s">
        <v>3</v>
      </c>
      <c r="E12" s="1"/>
      <c r="F12" s="1"/>
    </row>
    <row r="13" spans="1:6" x14ac:dyDescent="0.25">
      <c r="A13" s="1"/>
      <c r="B13" s="92" t="s">
        <v>271</v>
      </c>
      <c r="C13" s="9">
        <v>165689</v>
      </c>
      <c r="D13" s="14" t="s">
        <v>3</v>
      </c>
      <c r="E13" s="1"/>
      <c r="F13" s="1"/>
    </row>
    <row r="14" spans="1:6" x14ac:dyDescent="0.25">
      <c r="A14" s="1"/>
      <c r="B14" s="92" t="s">
        <v>272</v>
      </c>
      <c r="C14" s="9">
        <v>106766</v>
      </c>
      <c r="D14" s="14" t="s">
        <v>3</v>
      </c>
      <c r="E14" s="1"/>
      <c r="F14" s="1"/>
    </row>
    <row r="15" spans="1:6" x14ac:dyDescent="0.25">
      <c r="A15" s="1"/>
      <c r="B15" s="33" t="s">
        <v>201</v>
      </c>
      <c r="C15" s="12">
        <f>SUM(C10:C14)</f>
        <v>3110331</v>
      </c>
      <c r="D15" s="13" t="s">
        <v>3</v>
      </c>
      <c r="E15" s="1"/>
      <c r="F15" s="1"/>
    </row>
    <row r="16" spans="1:6" x14ac:dyDescent="0.25">
      <c r="A16" s="1"/>
      <c r="B16" s="33" t="s">
        <v>202</v>
      </c>
      <c r="C16" s="12">
        <f>C15*(1+'Fane 15. Nøgletal'!C15)^2</f>
        <v>3335728.4762961604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5" t="s">
        <v>117</v>
      </c>
      <c r="C19" s="126"/>
      <c r="D19" s="127"/>
      <c r="E19" s="1"/>
      <c r="F19" s="1"/>
    </row>
    <row r="20" spans="1:6" x14ac:dyDescent="0.25">
      <c r="A20" s="1"/>
      <c r="B20" s="92" t="s">
        <v>99</v>
      </c>
      <c r="C20" s="9">
        <v>0</v>
      </c>
      <c r="D20" s="14" t="s">
        <v>3</v>
      </c>
      <c r="E20" s="1"/>
      <c r="F20" s="1"/>
    </row>
    <row r="21" spans="1:6" x14ac:dyDescent="0.25">
      <c r="A21" s="1"/>
      <c r="B21" s="92" t="s">
        <v>129</v>
      </c>
      <c r="C21" s="9">
        <v>0</v>
      </c>
      <c r="D21" s="14" t="s">
        <v>3</v>
      </c>
      <c r="E21" s="1"/>
      <c r="F21" s="1"/>
    </row>
    <row r="22" spans="1:6" x14ac:dyDescent="0.25">
      <c r="A22" s="1"/>
      <c r="B22" s="92" t="s">
        <v>155</v>
      </c>
      <c r="C22" s="9">
        <v>0</v>
      </c>
      <c r="D22" s="14" t="s">
        <v>3</v>
      </c>
      <c r="E22" s="1"/>
      <c r="F22" s="1"/>
    </row>
    <row r="23" spans="1:6" x14ac:dyDescent="0.25">
      <c r="A23" s="1"/>
      <c r="B23" s="34" t="s">
        <v>203</v>
      </c>
      <c r="C23" s="9">
        <v>0</v>
      </c>
      <c r="D23" s="41" t="s">
        <v>3</v>
      </c>
      <c r="E23" s="1"/>
      <c r="F23" s="1"/>
    </row>
    <row r="24" spans="1:6" x14ac:dyDescent="0.25">
      <c r="A24" s="1"/>
      <c r="B24" s="125"/>
      <c r="C24" s="126"/>
      <c r="D24" s="127"/>
      <c r="E24" s="1"/>
      <c r="F24" s="1"/>
    </row>
    <row r="25" spans="1:6" x14ac:dyDescent="0.25">
      <c r="A25" s="1"/>
      <c r="B25" s="1"/>
      <c r="C25" s="1"/>
      <c r="D25" s="1"/>
      <c r="E25" s="1"/>
      <c r="F25" s="1"/>
    </row>
    <row r="26" spans="1:6" x14ac:dyDescent="0.25">
      <c r="A26" s="1"/>
      <c r="B26" s="1"/>
      <c r="C26" s="1"/>
      <c r="D26" s="1"/>
      <c r="E26" s="1"/>
      <c r="F26" s="1"/>
    </row>
    <row r="27" spans="1:6" x14ac:dyDescent="0.25">
      <c r="A27" s="1"/>
      <c r="B27" s="125" t="s">
        <v>98</v>
      </c>
      <c r="C27" s="126"/>
      <c r="D27" s="127"/>
      <c r="E27" s="1"/>
      <c r="F27" s="1"/>
    </row>
    <row r="28" spans="1:6" x14ac:dyDescent="0.25">
      <c r="A28" s="1"/>
      <c r="B28" s="92" t="s">
        <v>99</v>
      </c>
      <c r="C28" s="9">
        <v>0</v>
      </c>
      <c r="D28" s="14" t="s">
        <v>3</v>
      </c>
      <c r="E28" s="1"/>
      <c r="F28" s="1"/>
    </row>
    <row r="29" spans="1:6" x14ac:dyDescent="0.25">
      <c r="A29" s="1"/>
      <c r="B29" s="92" t="s">
        <v>129</v>
      </c>
      <c r="C29" s="9">
        <v>0</v>
      </c>
      <c r="D29" s="14" t="s">
        <v>3</v>
      </c>
      <c r="E29" s="1"/>
      <c r="F29" s="1"/>
    </row>
    <row r="30" spans="1:6" x14ac:dyDescent="0.25">
      <c r="A30" s="1"/>
      <c r="B30" s="92" t="s">
        <v>155</v>
      </c>
      <c r="C30" s="9">
        <v>0</v>
      </c>
      <c r="D30" s="14" t="s">
        <v>3</v>
      </c>
      <c r="E30" s="1"/>
      <c r="F30" s="1"/>
    </row>
    <row r="31" spans="1:6" x14ac:dyDescent="0.25">
      <c r="A31" s="1"/>
      <c r="B31" s="34" t="s">
        <v>203</v>
      </c>
      <c r="C31" s="9">
        <v>0</v>
      </c>
      <c r="D31" s="41" t="s">
        <v>3</v>
      </c>
      <c r="E31" s="1"/>
      <c r="F31" s="1"/>
    </row>
    <row r="32" spans="1:6" x14ac:dyDescent="0.25">
      <c r="A32" s="1"/>
      <c r="B32" s="125"/>
      <c r="C32" s="126"/>
      <c r="D32" s="12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row r="52" spans="1:6" x14ac:dyDescent="0.25">
      <c r="A52" s="52"/>
      <c r="B52" s="52"/>
      <c r="C52" s="52"/>
      <c r="D52" s="52"/>
      <c r="E52" s="52"/>
      <c r="F52" s="52"/>
    </row>
  </sheetData>
  <sheetProtection algorithmName="SHA-512" hashValue="KZ/KyVvEQ6u1nGRPf6cPlX9eXM6USw2fZE1n+oaeB5iR5QpORoARVm2Q7g0nqIXM0ILCpjmcioBXIj6vMwBGXA==" saltValue="1W/t3O7n3kvAxouJ1yHvw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4" t="s">
        <v>205</v>
      </c>
      <c r="C9" s="135"/>
      <c r="D9" s="136"/>
      <c r="E9" s="9">
        <v>11418951.261740476</v>
      </c>
      <c r="F9" s="14" t="s">
        <v>3</v>
      </c>
      <c r="G9" s="1"/>
    </row>
    <row r="10" spans="1:7" x14ac:dyDescent="0.25">
      <c r="A10" s="1"/>
      <c r="B10" s="134" t="s">
        <v>265</v>
      </c>
      <c r="C10" s="135"/>
      <c r="D10" s="136"/>
      <c r="E10" s="9">
        <v>11418951.261740476</v>
      </c>
      <c r="F10" s="14" t="s">
        <v>3</v>
      </c>
      <c r="G10" s="1"/>
    </row>
    <row r="11" spans="1:7" x14ac:dyDescent="0.25">
      <c r="A11" s="1"/>
      <c r="B11" s="33"/>
      <c r="C11" s="28"/>
      <c r="D11" s="28"/>
      <c r="E11" s="28"/>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4" t="s">
        <v>286</v>
      </c>
      <c r="C15" s="135"/>
      <c r="D15" s="136"/>
      <c r="E15" s="9">
        <v>0</v>
      </c>
      <c r="F15" s="14" t="s">
        <v>3</v>
      </c>
      <c r="G15" s="1"/>
    </row>
    <row r="16" spans="1:7" x14ac:dyDescent="0.25">
      <c r="A16" s="1"/>
      <c r="B16" s="134" t="s">
        <v>287</v>
      </c>
      <c r="C16" s="135"/>
      <c r="D16" s="136"/>
      <c r="E16" s="9">
        <v>0</v>
      </c>
      <c r="F16" s="14" t="s">
        <v>3</v>
      </c>
      <c r="G16" s="1"/>
    </row>
    <row r="17" spans="1:7" x14ac:dyDescent="0.25">
      <c r="A17" s="1"/>
      <c r="B17" s="33"/>
      <c r="C17" s="28"/>
      <c r="D17" s="28"/>
      <c r="E17" s="28"/>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84" t="s">
        <v>206</v>
      </c>
      <c r="C20" s="85"/>
      <c r="D20" s="85"/>
      <c r="E20" s="85"/>
      <c r="F20" s="86"/>
      <c r="G20" s="1"/>
    </row>
    <row r="21" spans="1:7" x14ac:dyDescent="0.25">
      <c r="A21" s="1"/>
      <c r="B21" s="89" t="s">
        <v>207</v>
      </c>
      <c r="C21" s="90"/>
      <c r="D21" s="91"/>
      <c r="E21" s="9">
        <v>79581894.591477543</v>
      </c>
      <c r="F21" s="14" t="s">
        <v>3</v>
      </c>
      <c r="G21" s="1"/>
    </row>
    <row r="22" spans="1:7" x14ac:dyDescent="0.25">
      <c r="A22" s="1"/>
      <c r="B22" s="89" t="s">
        <v>208</v>
      </c>
      <c r="C22" s="90"/>
      <c r="D22" s="91"/>
      <c r="E22" s="9">
        <v>74835446</v>
      </c>
      <c r="F22" s="14" t="s">
        <v>3</v>
      </c>
      <c r="G22" s="1"/>
    </row>
    <row r="23" spans="1:7" x14ac:dyDescent="0.25">
      <c r="A23" s="1"/>
      <c r="B23" s="89" t="s">
        <v>33</v>
      </c>
      <c r="C23" s="90"/>
      <c r="D23" s="91"/>
      <c r="E23" s="9">
        <v>0</v>
      </c>
      <c r="F23" s="14" t="s">
        <v>3</v>
      </c>
      <c r="G23" s="1"/>
    </row>
    <row r="24" spans="1:7" x14ac:dyDescent="0.25">
      <c r="A24" s="1"/>
      <c r="B24" s="87" t="s">
        <v>274</v>
      </c>
      <c r="C24" s="88"/>
      <c r="D24" s="94"/>
      <c r="E24" s="76">
        <f>E21-(E22-E23)</f>
        <v>4746448.5914775431</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5" t="s">
        <v>288</v>
      </c>
      <c r="C27" s="126"/>
      <c r="D27" s="126"/>
      <c r="E27" s="126"/>
      <c r="F27" s="127"/>
      <c r="G27" s="1"/>
    </row>
    <row r="28" spans="1:7" x14ac:dyDescent="0.25">
      <c r="A28" s="1"/>
      <c r="B28" s="131" t="s">
        <v>289</v>
      </c>
      <c r="C28" s="132"/>
      <c r="D28" s="150"/>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47" t="s">
        <v>143</v>
      </c>
      <c r="C32" s="148"/>
      <c r="D32" s="149"/>
      <c r="E32" s="78">
        <f>IF(AND(E9&gt;0,(E9+E24)&gt;0),0,IF(AND(E9&gt;0,(E9+E24)&lt;0),(E9+E24),IF(AND(E9&lt;0,E24&lt;0),E24,0)))</f>
        <v>0</v>
      </c>
      <c r="F32" s="14" t="s">
        <v>3</v>
      </c>
      <c r="G32" s="1"/>
    </row>
    <row r="33" spans="1:7" x14ac:dyDescent="0.25">
      <c r="A33" s="1"/>
      <c r="B33" s="147" t="s">
        <v>102</v>
      </c>
      <c r="C33" s="148"/>
      <c r="D33" s="149"/>
      <c r="E33" s="9">
        <v>4</v>
      </c>
      <c r="F33" s="14" t="s">
        <v>20</v>
      </c>
      <c r="G33" s="1"/>
    </row>
    <row r="34" spans="1:7" x14ac:dyDescent="0.25">
      <c r="A34" s="1"/>
      <c r="B34" s="151" t="s">
        <v>144</v>
      </c>
      <c r="C34" s="151"/>
      <c r="D34" s="151"/>
      <c r="E34" s="77">
        <f>E32/E33</f>
        <v>0</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Se50rI8GBE8XsydOT7pTLedPcPsX10/zLxtZdqk2wUsYvOOJpXjzNuY+fk8VWU2+PDyg9EXKTAVRh1KiHLCWow==" saltValue="OXJk86GTDjNAg6Cpx+rkHQ==" spinCount="100000" sheet="1" objects="1" scenarios="1"/>
  <mergeCells count="17">
    <mergeCell ref="B33:D33"/>
    <mergeCell ref="B34:D34"/>
    <mergeCell ref="B35:F35"/>
    <mergeCell ref="B29:F29"/>
    <mergeCell ref="B3:F4"/>
    <mergeCell ref="B8:F8"/>
    <mergeCell ref="B9:D9"/>
    <mergeCell ref="B10:D10"/>
    <mergeCell ref="B14:F14"/>
    <mergeCell ref="B12:F12"/>
    <mergeCell ref="B15:D15"/>
    <mergeCell ref="B16:D16"/>
    <mergeCell ref="B32:D32"/>
    <mergeCell ref="B18:F18"/>
    <mergeCell ref="B27:F27"/>
    <mergeCell ref="B28:D28"/>
    <mergeCell ref="B31:F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DLQCUhpT32bGggclepDQkxhSKtMhD4M7hvcZFYyiojL9SKZxFfwYzqsyXogBPmLfKCRMfG5WYvpF5UVHiczwDQ==" saltValue="m+WKkgDpVkSixG7Cg72kQQ=="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0</v>
      </c>
      <c r="F10" s="8" t="s">
        <v>3</v>
      </c>
      <c r="G10" s="1"/>
    </row>
    <row r="11" spans="1:7" x14ac:dyDescent="0.25">
      <c r="A11" s="1"/>
      <c r="B11" s="134" t="s">
        <v>210</v>
      </c>
      <c r="C11" s="135"/>
      <c r="D11" s="136"/>
      <c r="E11" s="7">
        <v>716204.81</v>
      </c>
      <c r="F11" s="8" t="s">
        <v>3</v>
      </c>
      <c r="G11" s="1"/>
    </row>
    <row r="12" spans="1:7" x14ac:dyDescent="0.25">
      <c r="A12" s="1"/>
      <c r="B12" s="131" t="s">
        <v>101</v>
      </c>
      <c r="C12" s="132"/>
      <c r="D12" s="150"/>
      <c r="E12" s="10">
        <f>E11-E10</f>
        <v>716204.81</v>
      </c>
      <c r="F12" s="11" t="s">
        <v>3</v>
      </c>
      <c r="G12" s="1"/>
    </row>
    <row r="13" spans="1:7" x14ac:dyDescent="0.25">
      <c r="A13" s="1"/>
      <c r="B13" s="125" t="s">
        <v>94</v>
      </c>
      <c r="C13" s="126"/>
      <c r="D13" s="126"/>
      <c r="E13" s="126"/>
      <c r="F13" s="127"/>
      <c r="G13" s="1"/>
    </row>
    <row r="14" spans="1:7" x14ac:dyDescent="0.25">
      <c r="A14" s="1"/>
      <c r="B14" s="134" t="s">
        <v>211</v>
      </c>
      <c r="C14" s="135"/>
      <c r="D14" s="136"/>
      <c r="E14" s="9">
        <v>0</v>
      </c>
      <c r="F14" s="8" t="s">
        <v>3</v>
      </c>
      <c r="G14" s="1"/>
    </row>
    <row r="15" spans="1:7" x14ac:dyDescent="0.25">
      <c r="A15" s="1"/>
      <c r="B15" s="128" t="s">
        <v>212</v>
      </c>
      <c r="C15" s="129"/>
      <c r="D15" s="130"/>
      <c r="E15" s="9">
        <v>0</v>
      </c>
      <c r="F15" s="8" t="s">
        <v>3</v>
      </c>
      <c r="G15" s="1"/>
    </row>
    <row r="16" spans="1:7" x14ac:dyDescent="0.25">
      <c r="A16" s="1"/>
      <c r="B16" s="131" t="s">
        <v>101</v>
      </c>
      <c r="C16" s="132"/>
      <c r="D16" s="150"/>
      <c r="E16" s="10">
        <f>E15-E14</f>
        <v>0</v>
      </c>
      <c r="F16" s="11" t="s">
        <v>3</v>
      </c>
      <c r="G16" s="1"/>
    </row>
    <row r="17" spans="1:7" x14ac:dyDescent="0.25">
      <c r="A17" s="1"/>
      <c r="B17" s="33" t="s">
        <v>213</v>
      </c>
      <c r="C17" s="28"/>
      <c r="D17" s="28"/>
      <c r="E17" s="12">
        <f>E12+E16</f>
        <v>716204.81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yfmqFvzsbNZA8I3NvYZuyltmrN57mKAcb3/5v1QHWAibOVErdIZ/h6smurwlQmntmxqd6ZYRLuJJMtxAumJCA==" saltValue="Sh/c4TvnPEIKF3F34SqKg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273</v>
      </c>
      <c r="C10" s="42">
        <v>0</v>
      </c>
      <c r="D10" s="9">
        <v>0</v>
      </c>
      <c r="E10" s="14" t="s">
        <v>3</v>
      </c>
      <c r="F10" s="9">
        <f>IFERROR(D10/C10,0)</f>
        <v>0</v>
      </c>
      <c r="G10" s="14" t="s">
        <v>3</v>
      </c>
      <c r="H10" s="45">
        <v>0</v>
      </c>
      <c r="I10" s="14" t="s">
        <v>3</v>
      </c>
      <c r="J10" s="45">
        <v>0</v>
      </c>
      <c r="K10" s="14" t="s">
        <v>3</v>
      </c>
      <c r="L10" s="1"/>
    </row>
    <row r="11" spans="1:12" x14ac:dyDescent="0.25">
      <c r="A11" s="1"/>
      <c r="B11" s="84" t="s">
        <v>222</v>
      </c>
      <c r="C11" s="85"/>
      <c r="D11" s="86"/>
      <c r="E11" s="86"/>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FO+wYpeZVuot/T17XewkfT71XAI14PPFcCIayc8qiS9tneBEP8yN8DhIe7t/QKaeGwwPZHxrK7qX0ybsb7e5A==" saltValue="S72Zvw7fm/H0XeoFN8Sm8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284</v>
      </c>
      <c r="C11" s="21">
        <v>129035</v>
      </c>
      <c r="D11" s="14" t="s">
        <v>3</v>
      </c>
      <c r="E11" s="9">
        <v>983929</v>
      </c>
      <c r="F11" s="14" t="s">
        <v>3</v>
      </c>
      <c r="G11" s="1"/>
    </row>
    <row r="12" spans="1:7" x14ac:dyDescent="0.25">
      <c r="A12" s="1"/>
      <c r="B12" s="24" t="s">
        <v>285</v>
      </c>
      <c r="C12" s="21">
        <v>159049</v>
      </c>
      <c r="D12" s="14" t="s">
        <v>3</v>
      </c>
      <c r="E12" s="9">
        <v>182334</v>
      </c>
      <c r="F12" s="14" t="s">
        <v>3</v>
      </c>
      <c r="G12" s="1"/>
    </row>
    <row r="13" spans="1:7" x14ac:dyDescent="0.25">
      <c r="A13" s="1"/>
      <c r="B13" s="33" t="s">
        <v>156</v>
      </c>
      <c r="C13" s="12">
        <f>SUM(C10:C12)</f>
        <v>288084</v>
      </c>
      <c r="D13" s="13" t="s">
        <v>3</v>
      </c>
      <c r="E13" s="12">
        <f>SUM(E10:E12)</f>
        <v>1166263</v>
      </c>
      <c r="F13" s="13" t="s">
        <v>3</v>
      </c>
      <c r="G13" s="1"/>
    </row>
    <row r="14" spans="1:7" x14ac:dyDescent="0.25">
      <c r="A14" s="1"/>
      <c r="B14" s="33" t="s">
        <v>214</v>
      </c>
      <c r="C14" s="12">
        <f>C13*(1+'Fane 15. Nøgletal'!C15)</f>
        <v>298339.7904</v>
      </c>
      <c r="D14" s="13" t="s">
        <v>3</v>
      </c>
      <c r="E14" s="12">
        <f>E13*(1+'Fane 15. Nøgletal'!C15)</f>
        <v>1207781.9628000001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H08zrPlJpTvZM+X31cNYYRSn4IuE8n2p4tLDbRKs8MjEUUrD1aEghYSeOx2IUNXqmY89ghIgT3IWPP4AeWvGA==" saltValue="PNun6uQGQLoK37n3KfxP4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82" t="s">
        <v>17</v>
      </c>
      <c r="C9" s="82" t="s">
        <v>11</v>
      </c>
      <c r="D9" s="83"/>
      <c r="E9" s="82" t="s">
        <v>31</v>
      </c>
      <c r="F9" s="32"/>
      <c r="G9" s="1"/>
    </row>
    <row r="10" spans="1:7" x14ac:dyDescent="0.25">
      <c r="A10" s="1"/>
      <c r="B10" s="24" t="s">
        <v>284</v>
      </c>
      <c r="C10" s="21">
        <v>3022775</v>
      </c>
      <c r="D10" s="14" t="s">
        <v>3</v>
      </c>
      <c r="E10" s="9">
        <v>0</v>
      </c>
      <c r="F10" s="14" t="s">
        <v>3</v>
      </c>
      <c r="G10" s="1"/>
    </row>
    <row r="11" spans="1:7" x14ac:dyDescent="0.25">
      <c r="A11" s="1"/>
      <c r="B11" s="33" t="s">
        <v>234</v>
      </c>
      <c r="C11" s="12">
        <f>SUM(C10:C10)</f>
        <v>3022775</v>
      </c>
      <c r="D11" s="13" t="s">
        <v>3</v>
      </c>
      <c r="E11" s="12">
        <f>SUM(E10:E10)</f>
        <v>0</v>
      </c>
      <c r="F11" s="13" t="s">
        <v>3</v>
      </c>
      <c r="G11" s="1"/>
    </row>
    <row r="12" spans="1:7" x14ac:dyDescent="0.25">
      <c r="A12" s="1"/>
      <c r="B12" s="33" t="s">
        <v>136</v>
      </c>
      <c r="C12" s="12">
        <f>C11*(1+'Fane 15. Nøgletal'!C15)^2</f>
        <v>3241827.5241240002</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mmJEtTYakrMZJTSaH08bbJittni3P2nldu3za3S58kHODjRbvIdtcW9L9tc+HlIuiv2KEJc3l+V4I1cfyo0xVw==" saltValue="+FbbR8L5Kl9rPuVdWNCOq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5" t="s">
        <v>226</v>
      </c>
      <c r="C10" s="156"/>
      <c r="D10" s="157"/>
      <c r="E10" s="9">
        <v>3071598.2091906881</v>
      </c>
      <c r="F10" s="14" t="s">
        <v>3</v>
      </c>
      <c r="G10" s="1"/>
    </row>
    <row r="11" spans="1:7" x14ac:dyDescent="0.25">
      <c r="A11" s="1"/>
      <c r="B11" s="119" t="s">
        <v>10</v>
      </c>
      <c r="C11" s="120"/>
      <c r="D11" s="121"/>
      <c r="E11" s="9">
        <f>-E10*'Fane 5. Individuelt eff. krav'!G9</f>
        <v>0</v>
      </c>
      <c r="F11" s="14" t="s">
        <v>3</v>
      </c>
      <c r="G11" s="1"/>
    </row>
    <row r="12" spans="1:7" x14ac:dyDescent="0.25">
      <c r="A12" s="1"/>
      <c r="B12" s="119" t="s">
        <v>24</v>
      </c>
      <c r="C12" s="120"/>
      <c r="D12" s="121"/>
      <c r="E12" s="9">
        <f>-E10*'Fane 15. Nøgletal'!C31</f>
        <v>-61431.964183813761</v>
      </c>
      <c r="F12" s="14" t="s">
        <v>3</v>
      </c>
      <c r="G12" s="1"/>
    </row>
    <row r="13" spans="1:7" x14ac:dyDescent="0.25">
      <c r="A13" s="1"/>
      <c r="B13" s="125" t="s">
        <v>92</v>
      </c>
      <c r="C13" s="126"/>
      <c r="D13" s="127"/>
      <c r="E13" s="12">
        <f>SUM(E10:E12)*(1+'Fane 15. Nøgletal'!C15)^2</f>
        <v>3228305.045943636</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5" t="s">
        <v>226</v>
      </c>
      <c r="C16" s="156"/>
      <c r="D16" s="157"/>
      <c r="E16" s="9">
        <v>3071598.2091906881</v>
      </c>
      <c r="F16" s="14" t="s">
        <v>3</v>
      </c>
      <c r="G16" s="1"/>
    </row>
    <row r="17" spans="1:7" x14ac:dyDescent="0.25">
      <c r="A17" s="1"/>
      <c r="B17" s="119" t="s">
        <v>10</v>
      </c>
      <c r="C17" s="120"/>
      <c r="D17" s="121"/>
      <c r="E17" s="9">
        <f>-E16*'Fane 5. Individuelt eff. krav'!G9</f>
        <v>0</v>
      </c>
      <c r="F17" s="14" t="s">
        <v>3</v>
      </c>
      <c r="G17" s="1"/>
    </row>
    <row r="18" spans="1:7" x14ac:dyDescent="0.25">
      <c r="A18" s="1"/>
      <c r="B18" s="119" t="s">
        <v>24</v>
      </c>
      <c r="C18" s="120"/>
      <c r="D18" s="121"/>
      <c r="E18" s="9">
        <f>-E16*'Fane 15. Nøgletal'!C31</f>
        <v>-61431.964183813761</v>
      </c>
      <c r="F18" s="14" t="s">
        <v>3</v>
      </c>
      <c r="G18" s="1"/>
    </row>
    <row r="19" spans="1:7" x14ac:dyDescent="0.25">
      <c r="A19" s="1"/>
      <c r="B19" s="125" t="s">
        <v>131</v>
      </c>
      <c r="C19" s="126"/>
      <c r="D19" s="127"/>
      <c r="E19" s="12">
        <f>SUM(E16:E18)*(1+'Fane 15. Nøgletal'!C15)^3</f>
        <v>3343232.7055792296</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5" t="s">
        <v>226</v>
      </c>
      <c r="C22" s="156"/>
      <c r="D22" s="157"/>
      <c r="E22" s="9">
        <v>3071598.2091906881</v>
      </c>
      <c r="F22" s="14" t="s">
        <v>3</v>
      </c>
      <c r="G22" s="1"/>
    </row>
    <row r="23" spans="1:7" x14ac:dyDescent="0.25">
      <c r="A23" s="1"/>
      <c r="B23" s="119" t="s">
        <v>10</v>
      </c>
      <c r="C23" s="120"/>
      <c r="D23" s="121"/>
      <c r="E23" s="9">
        <f>-E22*'Fane 5. Individuelt eff. krav'!G9</f>
        <v>0</v>
      </c>
      <c r="F23" s="14" t="s">
        <v>3</v>
      </c>
      <c r="G23" s="1"/>
    </row>
    <row r="24" spans="1:7" x14ac:dyDescent="0.25">
      <c r="A24" s="1"/>
      <c r="B24" s="119" t="s">
        <v>24</v>
      </c>
      <c r="C24" s="120"/>
      <c r="D24" s="121"/>
      <c r="E24" s="9">
        <f>-E22*'Fane 15. Nøgletal'!C31</f>
        <v>-61431.964183813761</v>
      </c>
      <c r="F24" s="14" t="s">
        <v>3</v>
      </c>
      <c r="G24" s="1"/>
    </row>
    <row r="25" spans="1:7" x14ac:dyDescent="0.25">
      <c r="A25" s="1"/>
      <c r="B25" s="125" t="s">
        <v>158</v>
      </c>
      <c r="C25" s="126"/>
      <c r="D25" s="127"/>
      <c r="E25" s="12">
        <f>SUM(E22:E24)*(1+'Fane 15. Nøgletal'!C15)^4</f>
        <v>3462251.7898978502</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5" t="s">
        <v>226</v>
      </c>
      <c r="C28" s="156"/>
      <c r="D28" s="157"/>
      <c r="E28" s="9">
        <v>3071598.2091906881</v>
      </c>
      <c r="F28" s="14" t="s">
        <v>3</v>
      </c>
      <c r="G28" s="1"/>
    </row>
    <row r="29" spans="1:7" x14ac:dyDescent="0.25">
      <c r="A29" s="1"/>
      <c r="B29" s="119" t="s">
        <v>10</v>
      </c>
      <c r="C29" s="120"/>
      <c r="D29" s="121"/>
      <c r="E29" s="9">
        <f>-E28*'Fane 5. Individuelt eff. krav'!G9</f>
        <v>0</v>
      </c>
      <c r="F29" s="14" t="s">
        <v>3</v>
      </c>
      <c r="G29" s="1"/>
    </row>
    <row r="30" spans="1:7" x14ac:dyDescent="0.25">
      <c r="A30" s="1"/>
      <c r="B30" s="119" t="s">
        <v>24</v>
      </c>
      <c r="C30" s="120"/>
      <c r="D30" s="121"/>
      <c r="E30" s="9">
        <f>-E28*'Fane 15. Nøgletal'!C31</f>
        <v>-61431.964183813761</v>
      </c>
      <c r="F30" s="14" t="s">
        <v>3</v>
      </c>
      <c r="G30" s="1"/>
    </row>
    <row r="31" spans="1:7" x14ac:dyDescent="0.25">
      <c r="A31" s="1"/>
      <c r="B31" s="125" t="s">
        <v>216</v>
      </c>
      <c r="C31" s="126"/>
      <c r="D31" s="127"/>
      <c r="E31" s="12">
        <f>SUM(E28:E30)*(1+'Fane 15. Nøgletal'!C15)^5</f>
        <v>3585507.9536182135</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YSM3/w39H5bqt/lot4KDoahUPZyFuNkiBSB/LPOTfdpYEVqWQG0Si1jP1yPdsaM95eSPB3uLGe4LaNgRR8/pQ==" saltValue="hoSi3EcycgijuUINFmn5W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1" t="s">
        <v>133</v>
      </c>
      <c r="C9" s="31" t="s">
        <v>11</v>
      </c>
      <c r="D9" s="32"/>
      <c r="E9" s="31" t="s">
        <v>31</v>
      </c>
      <c r="F9" s="32"/>
      <c r="G9" s="1"/>
    </row>
    <row r="10" spans="1:7" x14ac:dyDescent="0.25">
      <c r="A10" s="1"/>
      <c r="B10" s="24"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D2zRd86aifPeyRZUawsetdAzA3jKacmQp/Kdn8zvSi/74ihQgdfCclSlUBqyxe9IQJ+tYvLbvM+AjBBeoYRJQ==" saltValue="ihrjFjC2ohf2iWPyly8t1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me1eFbLWs3tuQZaZILRvezowS7cFSdKk52OK3ZYKkZWtiCuFxTuH1oKKPKYP8CX3xsT0SR/YCqXKXcpNTQPqw==" saltValue="dy9HtW4AgXVhQ3ZocuPPz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73834714.025193855</v>
      </c>
      <c r="D9" s="8" t="s">
        <v>3</v>
      </c>
      <c r="E9" s="1"/>
    </row>
    <row r="10" spans="1:5" ht="17.25" customHeight="1" x14ac:dyDescent="0.25">
      <c r="A10" s="1"/>
      <c r="B10" s="81" t="s">
        <v>39</v>
      </c>
      <c r="C10" s="7">
        <f>'Fane 11.1. Varige tillæg'!C14</f>
        <v>298339.7904</v>
      </c>
      <c r="D10" s="8" t="s">
        <v>3</v>
      </c>
      <c r="E10" s="1"/>
    </row>
    <row r="11" spans="1:5" ht="17.25" customHeight="1" x14ac:dyDescent="0.25">
      <c r="A11" s="1"/>
      <c r="B11" s="81" t="s">
        <v>40</v>
      </c>
      <c r="C11" s="9">
        <f>'Fane 11.1. Varige tillæg'!E14</f>
        <v>1207781.9628000001</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5">
        <f>SUM(C9)*'Fane 15. Nøgletal'!C14+SUM(C10:C15)*'Fane 15. Nøgletal'!C15</f>
        <v>297272.49069705972</v>
      </c>
      <c r="D16" s="8" t="s">
        <v>3</v>
      </c>
      <c r="E16" s="1"/>
    </row>
    <row r="17" spans="1:5" ht="17.25" customHeight="1" x14ac:dyDescent="0.25">
      <c r="A17" s="1"/>
      <c r="B17" s="81" t="s">
        <v>10</v>
      </c>
      <c r="C17" s="45">
        <f>-SUM(C9,C10:C16)*'Fane 5. Individuelt eff. krav'!G9</f>
        <v>0</v>
      </c>
      <c r="D17" s="8" t="s">
        <v>3</v>
      </c>
      <c r="E17" s="1"/>
    </row>
    <row r="18" spans="1:5" ht="17.25" customHeight="1" x14ac:dyDescent="0.25">
      <c r="A18" s="1"/>
      <c r="B18" s="81" t="s">
        <v>24</v>
      </c>
      <c r="C18" s="45">
        <f>-'Fane 4.1. Gen. krav - drift'!G45</f>
        <v>-521426.09311983094</v>
      </c>
      <c r="D18" s="8" t="s">
        <v>3</v>
      </c>
      <c r="E18" s="1"/>
    </row>
    <row r="19" spans="1:5" ht="17.25" customHeight="1" x14ac:dyDescent="0.25">
      <c r="A19" s="1"/>
      <c r="B19" s="81" t="s">
        <v>25</v>
      </c>
      <c r="C19" s="45">
        <f>-'Fane 4.2. Gen. krav - anlæg'!G43</f>
        <v>-744297.95226718101</v>
      </c>
      <c r="D19" s="8" t="s">
        <v>3</v>
      </c>
      <c r="E19" s="51"/>
    </row>
    <row r="20" spans="1:5" ht="17.25" customHeight="1" x14ac:dyDescent="0.25">
      <c r="A20" s="1"/>
      <c r="B20" s="87" t="s">
        <v>21</v>
      </c>
      <c r="C20" s="10">
        <f>SUM(C9:C19)</f>
        <v>74372384.223703891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3335728.4762961604</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3228305.045943636</v>
      </c>
      <c r="D24" s="11" t="s">
        <v>3</v>
      </c>
      <c r="E24" s="1"/>
    </row>
    <row r="25" spans="1:5" ht="15" customHeight="1" x14ac:dyDescent="0.25">
      <c r="A25" s="1"/>
      <c r="B25" s="48" t="s">
        <v>85</v>
      </c>
      <c r="C25" s="46"/>
      <c r="D25" s="47"/>
      <c r="E25" s="1"/>
    </row>
    <row r="26" spans="1:5" ht="15" customHeight="1" x14ac:dyDescent="0.25">
      <c r="A26" s="1"/>
      <c r="B26" s="81" t="s">
        <v>233</v>
      </c>
      <c r="C26" s="9">
        <f>'Fane 11.2. Engangstillæg'!C12</f>
        <v>3241827.5241240002</v>
      </c>
      <c r="D26" s="8" t="s">
        <v>3</v>
      </c>
      <c r="E26" s="1"/>
    </row>
    <row r="27" spans="1:5" ht="15" customHeight="1" x14ac:dyDescent="0.25">
      <c r="A27" s="1"/>
      <c r="B27" s="81" t="s">
        <v>82</v>
      </c>
      <c r="C27" s="9">
        <f>'Fane 11.2. Engangstillæg'!E12</f>
        <v>0</v>
      </c>
      <c r="D27" s="8" t="s">
        <v>3</v>
      </c>
      <c r="E27" s="1"/>
    </row>
    <row r="28" spans="1:5" ht="15" customHeight="1" x14ac:dyDescent="0.25">
      <c r="A28" s="1"/>
      <c r="B28" s="81" t="s">
        <v>240</v>
      </c>
      <c r="C28" s="9">
        <f>-C26*('Fane 15. Nøgletal'!C31+'Fane 5. Individuelt eff. krav'!G9)</f>
        <v>-64836.550482480008</v>
      </c>
      <c r="D28" s="8" t="s">
        <v>3</v>
      </c>
      <c r="E28" s="1"/>
    </row>
    <row r="29" spans="1:5" ht="15" customHeight="1" x14ac:dyDescent="0.25">
      <c r="A29" s="1"/>
      <c r="B29" s="81" t="s">
        <v>241</v>
      </c>
      <c r="C29" s="9">
        <f>-C27*('Fane 15. Nøgletal'!C26+'Fane 5. Individuelt eff. krav'!G9)</f>
        <v>0</v>
      </c>
      <c r="D29" s="8" t="s">
        <v>3</v>
      </c>
      <c r="E29" s="1"/>
    </row>
    <row r="30" spans="1:5" ht="15" customHeight="1" x14ac:dyDescent="0.25">
      <c r="A30" s="1"/>
      <c r="B30" s="93" t="s">
        <v>87</v>
      </c>
      <c r="C30" s="10">
        <f>SUM(C26:C29)</f>
        <v>3176990.9736415204</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716204.81</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84829613.529585212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ORC3xtqp2tu/fb9/xt/0OM7qmTr+e/0pLHgr35dTRS5Poe0K7vSSh9A5dO0R+jaww7v6y7CrlGSO/+8EYSAuQ==" saltValue="PTgaks9Jo7eKWu98GZqlq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hjEDfQjt+yNojGlOETPe6AkoTy19djYzKU/DIg0pBoYFIp+bTzc5c9SaRpSZAJeFC8vQaPcpgZxisefgdWsUuQ==" saltValue="YxjlGw/VAOJrkycNwNP6B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74372384.223703891</v>
      </c>
      <c r="D9" s="8" t="s">
        <v>3</v>
      </c>
      <c r="E9" s="1"/>
    </row>
    <row r="10" spans="1:5" ht="15" customHeight="1" x14ac:dyDescent="0.25">
      <c r="A10" s="1"/>
      <c r="B10" s="26" t="s">
        <v>19</v>
      </c>
      <c r="C10" s="7">
        <f>SUM(C9:C9)*'Fane 15. Nøgletal'!C15</f>
        <v>2647656.8783638584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drift'!G53</f>
        <v>-529189.08479419898</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76490852.01727356</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3454480.4100523042</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driftsomk.'!E19</f>
        <v>3343232.7055792296</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83288565.132905096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kbKDN0GtZyLEm6/TWXrrn3t4tE3VAO260TGkFVcEwCDPHHYkl90VhZdx06e8fbGUz70hrEiQ8XijOZFMYkzaA==" saltValue="bHFYz1B1fjLCHnmFBLxHn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76490852.01727356</v>
      </c>
      <c r="D9" s="8" t="s">
        <v>3</v>
      </c>
      <c r="E9" s="1"/>
    </row>
    <row r="10" spans="1:5" ht="15" customHeight="1" x14ac:dyDescent="0.25">
      <c r="A10" s="1"/>
      <c r="B10" s="26" t="s">
        <v>19</v>
      </c>
      <c r="C10" s="7">
        <f>SUM(C9:C9)*'Fane 15. Nøgletal'!C15</f>
        <v>2723074.3318149387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drift'!G58</f>
        <v>-537067.6518886151</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78676858.697199896</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3577459.9126501661</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3462251.7898978502</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85716570.399747908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Jb2XOOUc4D2txsD2OXjtTbFtJNtmFaW2NoivFxuktFmqPJNfG2vo1qlCIckjoeU3Do8nAxCNtxyDdyEQIMCxQ==" saltValue="Ls0PuiE6eoS1xC5gw6P3E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78676858.697199896</v>
      </c>
      <c r="D9" s="8" t="s">
        <v>3</v>
      </c>
      <c r="E9" s="1"/>
    </row>
    <row r="10" spans="1:5" ht="15" customHeight="1" x14ac:dyDescent="0.25">
      <c r="A10" s="1"/>
      <c r="B10" s="26" t="s">
        <v>19</v>
      </c>
      <c r="C10" s="7">
        <f>SUM(C9:C9)*'Fane 15. Nøgletal'!C15</f>
        <v>2800896.1696203165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drift'!G63</f>
        <v>-545063.51508993283</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80932691.351730287</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3704817.4855405125</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3585507.9536182135</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88223016.79088901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0jhyUcq3hPOgfIbMT0tI8TzjLVpl6MBqDOs3mYDynfy2WYF8v8XhAua8wX6YQ61u+0eRM/hcrI5/pg9wg+Qg==" saltValue="7nEyf2k9NE8GE8ZBAJGuB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8" t="s">
        <v>193</v>
      </c>
      <c r="C9" s="129"/>
      <c r="D9" s="130"/>
      <c r="E9" s="7">
        <v>74731384.07673119</v>
      </c>
      <c r="F9" s="8" t="s">
        <v>3</v>
      </c>
      <c r="G9" s="1"/>
    </row>
    <row r="10" spans="1:7" ht="15" customHeight="1" x14ac:dyDescent="0.25">
      <c r="A10" s="1"/>
      <c r="B10" s="119" t="s">
        <v>39</v>
      </c>
      <c r="C10" s="120"/>
      <c r="D10" s="121"/>
      <c r="E10" s="7">
        <v>53844.101100000007</v>
      </c>
      <c r="F10" s="8" t="s">
        <v>3</v>
      </c>
      <c r="G10" s="1"/>
    </row>
    <row r="11" spans="1:7" ht="15" customHeight="1" x14ac:dyDescent="0.25">
      <c r="A11" s="1"/>
      <c r="B11" s="119" t="s">
        <v>40</v>
      </c>
      <c r="C11" s="120"/>
      <c r="D11" s="121"/>
      <c r="E11" s="9">
        <v>79459.353400000007</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247053.46885306295</v>
      </c>
      <c r="F16" s="8" t="s">
        <v>3</v>
      </c>
      <c r="G16" s="1"/>
    </row>
    <row r="17" spans="1:7" ht="15" customHeight="1" x14ac:dyDescent="0.25">
      <c r="A17" s="1"/>
      <c r="B17" s="128" t="s">
        <v>10</v>
      </c>
      <c r="C17" s="129"/>
      <c r="D17" s="130"/>
      <c r="E17" s="9">
        <v>0</v>
      </c>
      <c r="F17" s="8" t="s">
        <v>3</v>
      </c>
      <c r="G17" s="1"/>
    </row>
    <row r="18" spans="1:7" ht="15" customHeight="1" x14ac:dyDescent="0.25">
      <c r="A18" s="1"/>
      <c r="B18" s="128" t="s">
        <v>24</v>
      </c>
      <c r="C18" s="129"/>
      <c r="D18" s="130"/>
      <c r="E18" s="9">
        <f>-'Fane 4.1. Gen. krav - drift'!G39</f>
        <v>-524032.81353275629</v>
      </c>
      <c r="F18" s="8" t="s">
        <v>3</v>
      </c>
      <c r="G18" s="1"/>
    </row>
    <row r="19" spans="1:7" ht="15" customHeight="1" x14ac:dyDescent="0.25">
      <c r="A19" s="1"/>
      <c r="B19" s="128" t="s">
        <v>25</v>
      </c>
      <c r="C19" s="129"/>
      <c r="D19" s="130"/>
      <c r="E19" s="9">
        <f>-'Fane 4.2. Gen. krav - anlæg'!G37</f>
        <v>-752994.16135763447</v>
      </c>
      <c r="F19" s="8" t="s">
        <v>3</v>
      </c>
      <c r="G19" s="1"/>
    </row>
    <row r="20" spans="1:7" ht="15" customHeight="1" x14ac:dyDescent="0.25">
      <c r="A20" s="1"/>
      <c r="B20" s="57" t="s">
        <v>21</v>
      </c>
      <c r="C20" s="88"/>
      <c r="D20" s="94"/>
      <c r="E20" s="54">
        <f>SUM(E9:E19)</f>
        <v>73834714.025193855</v>
      </c>
      <c r="F20" s="56" t="s">
        <v>3</v>
      </c>
      <c r="G20" s="1"/>
    </row>
    <row r="21" spans="1:7" ht="15" customHeight="1" x14ac:dyDescent="0.25">
      <c r="A21" s="1"/>
      <c r="B21" s="33" t="s">
        <v>12</v>
      </c>
      <c r="C21" s="28"/>
      <c r="D21" s="28"/>
      <c r="E21" s="28"/>
      <c r="F21" s="19"/>
      <c r="G21" s="1"/>
    </row>
    <row r="22" spans="1:7" ht="15" customHeight="1" x14ac:dyDescent="0.25">
      <c r="A22" s="1"/>
      <c r="B22" s="122" t="s">
        <v>12</v>
      </c>
      <c r="C22" s="123"/>
      <c r="D22" s="124"/>
      <c r="E22" s="10">
        <v>2701010.8160320804</v>
      </c>
      <c r="F22" s="11" t="s">
        <v>3</v>
      </c>
      <c r="G22" s="1"/>
    </row>
    <row r="23" spans="1:7" ht="15" customHeight="1" x14ac:dyDescent="0.25">
      <c r="A23" s="1"/>
      <c r="B23" s="125" t="s">
        <v>86</v>
      </c>
      <c r="C23" s="126"/>
      <c r="D23" s="127"/>
      <c r="E23" s="28"/>
      <c r="F23" s="28"/>
      <c r="G23" s="1"/>
    </row>
    <row r="24" spans="1:7" ht="15" customHeight="1" x14ac:dyDescent="0.25">
      <c r="A24" s="1"/>
      <c r="B24" s="87" t="s">
        <v>86</v>
      </c>
      <c r="C24" s="38"/>
      <c r="D24" s="39"/>
      <c r="E24" s="10">
        <v>2993544.8754537916</v>
      </c>
      <c r="F24" s="11" t="s">
        <v>3</v>
      </c>
      <c r="G24" s="1"/>
    </row>
    <row r="25" spans="1:7" x14ac:dyDescent="0.25">
      <c r="A25" s="1"/>
      <c r="B25" s="33" t="s">
        <v>85</v>
      </c>
      <c r="C25" s="28"/>
      <c r="D25" s="28"/>
      <c r="E25" s="28"/>
      <c r="F25" s="19"/>
      <c r="G25" s="1"/>
    </row>
    <row r="26" spans="1:7" ht="15" customHeight="1" x14ac:dyDescent="0.25">
      <c r="A26" s="1"/>
      <c r="B26" s="119" t="s">
        <v>81</v>
      </c>
      <c r="C26" s="120"/>
      <c r="D26" s="121"/>
      <c r="E26" s="9">
        <v>0</v>
      </c>
      <c r="F26" s="8" t="s">
        <v>3</v>
      </c>
      <c r="G26" s="1"/>
    </row>
    <row r="27" spans="1:7" ht="15" customHeight="1" x14ac:dyDescent="0.25">
      <c r="A27" s="1"/>
      <c r="B27" s="119" t="s">
        <v>82</v>
      </c>
      <c r="C27" s="120"/>
      <c r="D27" s="120"/>
      <c r="E27" s="9">
        <v>0</v>
      </c>
      <c r="F27" s="8" t="s">
        <v>3</v>
      </c>
      <c r="G27" s="1"/>
    </row>
    <row r="28" spans="1:7" ht="15" customHeight="1" x14ac:dyDescent="0.25">
      <c r="A28" s="1"/>
      <c r="B28" s="131" t="s">
        <v>87</v>
      </c>
      <c r="C28" s="132"/>
      <c r="D28" s="132"/>
      <c r="E28" s="40">
        <v>0</v>
      </c>
      <c r="F28" s="11" t="s">
        <v>3</v>
      </c>
      <c r="G28" s="1"/>
    </row>
    <row r="29" spans="1:7" ht="15" customHeight="1" x14ac:dyDescent="0.25">
      <c r="A29" s="1"/>
      <c r="B29" s="33" t="s">
        <v>143</v>
      </c>
      <c r="C29" s="33"/>
      <c r="D29" s="33"/>
      <c r="E29" s="28"/>
      <c r="F29" s="28"/>
      <c r="G29" s="1"/>
    </row>
    <row r="30" spans="1:7" ht="15" customHeight="1" x14ac:dyDescent="0.25">
      <c r="A30" s="1"/>
      <c r="B30" s="122" t="s">
        <v>142</v>
      </c>
      <c r="C30" s="123"/>
      <c r="D30" s="123"/>
      <c r="E30" s="40">
        <v>0</v>
      </c>
      <c r="F30" s="11" t="s">
        <v>3</v>
      </c>
      <c r="G30" s="1"/>
    </row>
    <row r="31" spans="1:7" x14ac:dyDescent="0.25">
      <c r="A31" s="1"/>
      <c r="B31" s="33" t="s">
        <v>123</v>
      </c>
      <c r="C31" s="28"/>
      <c r="D31" s="28"/>
      <c r="E31" s="28"/>
      <c r="F31" s="28"/>
      <c r="G31" s="1"/>
    </row>
    <row r="32" spans="1:7" ht="15.4" customHeight="1" x14ac:dyDescent="0.25">
      <c r="A32" s="1"/>
      <c r="B32" s="122" t="s">
        <v>123</v>
      </c>
      <c r="C32" s="123"/>
      <c r="D32" s="124"/>
      <c r="E32" s="10">
        <v>-4486615.8752421848</v>
      </c>
      <c r="F32" s="11" t="s">
        <v>3</v>
      </c>
      <c r="G32" s="1"/>
    </row>
    <row r="33" spans="1:7" ht="15.4" customHeight="1" x14ac:dyDescent="0.25">
      <c r="A33" s="1"/>
      <c r="B33" s="125" t="s">
        <v>175</v>
      </c>
      <c r="C33" s="126"/>
      <c r="D33" s="126"/>
      <c r="E33" s="126"/>
      <c r="F33" s="127"/>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75042653.841437548</v>
      </c>
      <c r="F35" s="55"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2LNWNOfCO7GTpBtN1hG5H2rnra3jGlfxAwe/ePMWDbnpaRyrNMBKA72q8bYC/hOeD7exhqyHjAmoF0aMtapACw==" saltValue="Y6jbDyj6uxPPyBwIcmkzl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4" t="s">
        <v>41</v>
      </c>
      <c r="C5" s="135"/>
      <c r="D5" s="135"/>
      <c r="E5" s="135"/>
      <c r="F5" s="136"/>
      <c r="G5" s="23">
        <v>25749261</v>
      </c>
      <c r="H5" s="14" t="s">
        <v>3</v>
      </c>
      <c r="I5" s="1"/>
    </row>
    <row r="6" spans="1:9" x14ac:dyDescent="0.25">
      <c r="A6" s="1"/>
      <c r="B6" s="128" t="s">
        <v>120</v>
      </c>
      <c r="C6" s="129"/>
      <c r="D6" s="129"/>
      <c r="E6" s="129"/>
      <c r="F6" s="130"/>
      <c r="G6" s="9">
        <v>2973717</v>
      </c>
      <c r="H6" s="14" t="s">
        <v>3</v>
      </c>
      <c r="I6" s="1"/>
    </row>
    <row r="7" spans="1:9" x14ac:dyDescent="0.25">
      <c r="A7" s="1"/>
      <c r="B7" s="134" t="s">
        <v>42</v>
      </c>
      <c r="C7" s="135"/>
      <c r="D7" s="135"/>
      <c r="E7" s="135"/>
      <c r="F7" s="136"/>
      <c r="G7" s="23">
        <f>SUM(G5:G6)*'Fane 15. Nøgletal'!C31</f>
        <v>574459.56000000006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5" t="s">
        <v>53</v>
      </c>
      <c r="C10" s="126"/>
      <c r="D10" s="126"/>
      <c r="E10" s="126"/>
      <c r="F10" s="126"/>
      <c r="G10" s="126"/>
      <c r="H10" s="127"/>
      <c r="I10" s="1"/>
    </row>
    <row r="11" spans="1:9" x14ac:dyDescent="0.25">
      <c r="A11" s="1"/>
      <c r="B11" s="134" t="s">
        <v>43</v>
      </c>
      <c r="C11" s="135"/>
      <c r="D11" s="135"/>
      <c r="E11" s="135"/>
      <c r="F11" s="136"/>
      <c r="G11" s="23">
        <f>(G5-G7)*(1+'Fane 15. Nøgletal'!C10)</f>
        <v>25615360.465200003</v>
      </c>
      <c r="H11" s="14" t="s">
        <v>3</v>
      </c>
      <c r="I11" s="1"/>
    </row>
    <row r="12" spans="1:9" ht="15" customHeight="1" x14ac:dyDescent="0.25">
      <c r="A12" s="1"/>
      <c r="B12" s="134" t="s">
        <v>121</v>
      </c>
      <c r="C12" s="135"/>
      <c r="D12" s="135"/>
      <c r="E12" s="135"/>
      <c r="F12" s="136"/>
      <c r="G12" s="9">
        <v>0.61480263169854887</v>
      </c>
      <c r="H12" s="14" t="s">
        <v>3</v>
      </c>
      <c r="I12" s="1"/>
    </row>
    <row r="13" spans="1:9" x14ac:dyDescent="0.25">
      <c r="A13" s="1"/>
      <c r="B13" s="128" t="s">
        <v>118</v>
      </c>
      <c r="C13" s="129"/>
      <c r="D13" s="129"/>
      <c r="E13" s="129"/>
      <c r="F13" s="130"/>
      <c r="G13" s="9">
        <v>2926492.8000000003</v>
      </c>
      <c r="H13" s="14" t="s">
        <v>3</v>
      </c>
      <c r="I13" s="1"/>
    </row>
    <row r="14" spans="1:9" x14ac:dyDescent="0.25">
      <c r="A14" s="1"/>
      <c r="B14" s="137" t="s">
        <v>44</v>
      </c>
      <c r="C14" s="138"/>
      <c r="D14" s="138"/>
      <c r="E14" s="138"/>
      <c r="F14" s="139"/>
      <c r="G14" s="9">
        <v>0</v>
      </c>
      <c r="H14" s="14" t="s">
        <v>3</v>
      </c>
      <c r="I14" s="1"/>
    </row>
    <row r="15" spans="1:9" x14ac:dyDescent="0.25">
      <c r="A15" s="1"/>
      <c r="B15" s="134" t="s">
        <v>45</v>
      </c>
      <c r="C15" s="135"/>
      <c r="D15" s="135"/>
      <c r="E15" s="135"/>
      <c r="F15" s="136"/>
      <c r="G15" s="23">
        <f>SUM(G11:G14)*'Fane 15. Nøgletal'!C31</f>
        <v>570837.0776000527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5" t="s">
        <v>54</v>
      </c>
      <c r="C18" s="126"/>
      <c r="D18" s="126"/>
      <c r="E18" s="126"/>
      <c r="F18" s="126"/>
      <c r="G18" s="126"/>
      <c r="H18" s="127"/>
      <c r="I18" s="1"/>
    </row>
    <row r="19" spans="1:9" x14ac:dyDescent="0.25">
      <c r="A19" s="1"/>
      <c r="B19" s="134" t="s">
        <v>46</v>
      </c>
      <c r="C19" s="135"/>
      <c r="D19" s="135"/>
      <c r="E19" s="135"/>
      <c r="F19" s="136"/>
      <c r="G19" s="23">
        <f>(SUM(G11:G12,G14)-(G15))*(1+'Fane 15. Nøgletal'!C10)</f>
        <v>25482803.172444627</v>
      </c>
      <c r="H19" s="14" t="s">
        <v>3</v>
      </c>
      <c r="I19" s="1"/>
    </row>
    <row r="20" spans="1:9" x14ac:dyDescent="0.25">
      <c r="A20" s="1"/>
      <c r="B20" s="137" t="s">
        <v>47</v>
      </c>
      <c r="C20" s="138"/>
      <c r="D20" s="138"/>
      <c r="E20" s="138"/>
      <c r="F20" s="139"/>
      <c r="G20" s="9">
        <v>0</v>
      </c>
      <c r="H20" s="14" t="s">
        <v>3</v>
      </c>
      <c r="I20" s="1"/>
    </row>
    <row r="21" spans="1:9" x14ac:dyDescent="0.25">
      <c r="A21" s="1"/>
      <c r="B21" s="134" t="s">
        <v>48</v>
      </c>
      <c r="C21" s="135"/>
      <c r="D21" s="135"/>
      <c r="E21" s="135"/>
      <c r="F21" s="136"/>
      <c r="G21" s="23">
        <f>SUM(G19:G20)*'Fane 15. Nøgletal'!C31</f>
        <v>509656.06344889256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5" t="s">
        <v>55</v>
      </c>
      <c r="C24" s="126"/>
      <c r="D24" s="126"/>
      <c r="E24" s="126"/>
      <c r="F24" s="126"/>
      <c r="G24" s="126"/>
      <c r="H24" s="127"/>
      <c r="I24" s="1"/>
    </row>
    <row r="25" spans="1:9" x14ac:dyDescent="0.25">
      <c r="A25" s="1"/>
      <c r="B25" s="134" t="s">
        <v>49</v>
      </c>
      <c r="C25" s="135"/>
      <c r="D25" s="135"/>
      <c r="E25" s="135"/>
      <c r="F25" s="136"/>
      <c r="G25" s="23">
        <f>(G19+G20-G21)*(1+'Fane 15. Nøgletal'!C12)</f>
        <v>25465118.107042953</v>
      </c>
      <c r="H25" s="14" t="s">
        <v>3</v>
      </c>
      <c r="I25" s="1"/>
    </row>
    <row r="26" spans="1:9" x14ac:dyDescent="0.25">
      <c r="A26" s="1"/>
      <c r="B26" s="137" t="s">
        <v>50</v>
      </c>
      <c r="C26" s="138"/>
      <c r="D26" s="138"/>
      <c r="E26" s="138"/>
      <c r="F26" s="139"/>
      <c r="G26" s="9">
        <v>1131610.7364398101</v>
      </c>
      <c r="H26" s="14" t="s">
        <v>3</v>
      </c>
      <c r="I26" s="1"/>
    </row>
    <row r="27" spans="1:9" x14ac:dyDescent="0.25">
      <c r="A27" s="1"/>
      <c r="B27" s="134" t="s">
        <v>51</v>
      </c>
      <c r="C27" s="135"/>
      <c r="D27" s="135"/>
      <c r="E27" s="135"/>
      <c r="F27" s="136"/>
      <c r="G27" s="23">
        <f>(G25+G26)*'Fane 15. Nøgletal'!C31</f>
        <v>531934.57686965528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5" t="s">
        <v>58</v>
      </c>
      <c r="C30" s="126"/>
      <c r="D30" s="126"/>
      <c r="E30" s="126"/>
      <c r="F30" s="126"/>
      <c r="G30" s="126"/>
      <c r="H30" s="127"/>
      <c r="I30" s="1"/>
    </row>
    <row r="31" spans="1:9" x14ac:dyDescent="0.25">
      <c r="A31" s="1"/>
      <c r="B31" s="134" t="s">
        <v>59</v>
      </c>
      <c r="C31" s="135"/>
      <c r="D31" s="135"/>
      <c r="E31" s="135"/>
      <c r="F31" s="136"/>
      <c r="G31" s="23">
        <f>(G25+G26-G27)*(1+'Fane 15. Nøgletal'!C12)</f>
        <v>26578270.713665389</v>
      </c>
      <c r="H31" s="14" t="s">
        <v>3</v>
      </c>
      <c r="I31" s="1"/>
    </row>
    <row r="32" spans="1:9" x14ac:dyDescent="0.25">
      <c r="A32" s="1"/>
      <c r="B32" s="134" t="s">
        <v>137</v>
      </c>
      <c r="C32" s="135"/>
      <c r="D32" s="135"/>
      <c r="E32" s="135"/>
      <c r="F32" s="136"/>
      <c r="G32" s="23">
        <v>15214.550273999999</v>
      </c>
      <c r="H32" s="14" t="s">
        <v>3</v>
      </c>
      <c r="I32" s="1"/>
    </row>
    <row r="33" spans="1:9" x14ac:dyDescent="0.25">
      <c r="A33" s="1"/>
      <c r="B33" s="134" t="s">
        <v>60</v>
      </c>
      <c r="C33" s="135"/>
      <c r="D33" s="135"/>
      <c r="E33" s="135"/>
      <c r="F33" s="136"/>
      <c r="G33" s="23">
        <f>(G31+G32)*'Fane 15. Nøgletal'!C31</f>
        <v>531869.70527878776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5" t="s">
        <v>160</v>
      </c>
      <c r="C36" s="126"/>
      <c r="D36" s="126"/>
      <c r="E36" s="126"/>
      <c r="F36" s="126"/>
      <c r="G36" s="126"/>
      <c r="H36" s="127"/>
      <c r="I36" s="1"/>
    </row>
    <row r="37" spans="1:9" x14ac:dyDescent="0.25">
      <c r="A37" s="1"/>
      <c r="B37" s="134" t="s">
        <v>79</v>
      </c>
      <c r="C37" s="135"/>
      <c r="D37" s="135"/>
      <c r="E37" s="135"/>
      <c r="F37" s="136"/>
      <c r="G37" s="23">
        <f>(G31+G32-G33)*(1+'Fane 15. Nøgletal'!C14)</f>
        <v>26147618.890004184</v>
      </c>
      <c r="H37" s="14" t="s">
        <v>3</v>
      </c>
      <c r="I37" s="1"/>
    </row>
    <row r="38" spans="1:9" x14ac:dyDescent="0.25">
      <c r="A38" s="1"/>
      <c r="B38" s="134" t="s">
        <v>164</v>
      </c>
      <c r="C38" s="135"/>
      <c r="D38" s="135"/>
      <c r="E38" s="135"/>
      <c r="F38" s="136"/>
      <c r="G38" s="23">
        <v>54021.786633630014</v>
      </c>
      <c r="H38" s="14" t="s">
        <v>3</v>
      </c>
      <c r="I38" s="1"/>
    </row>
    <row r="39" spans="1:9" x14ac:dyDescent="0.25">
      <c r="A39" s="1"/>
      <c r="B39" s="134" t="s">
        <v>162</v>
      </c>
      <c r="C39" s="135"/>
      <c r="D39" s="135"/>
      <c r="E39" s="135"/>
      <c r="F39" s="136"/>
      <c r="G39" s="23">
        <f>(G37+G38)*'Fane 15. Nøgletal'!C31</f>
        <v>524032.81353275629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5" t="s">
        <v>161</v>
      </c>
      <c r="C42" s="126"/>
      <c r="D42" s="126"/>
      <c r="E42" s="126"/>
      <c r="F42" s="126"/>
      <c r="G42" s="126"/>
      <c r="H42" s="127"/>
      <c r="I42" s="1"/>
    </row>
    <row r="43" spans="1:9" x14ac:dyDescent="0.25">
      <c r="A43" s="1"/>
      <c r="B43" s="134" t="s">
        <v>230</v>
      </c>
      <c r="C43" s="135"/>
      <c r="D43" s="135"/>
      <c r="E43" s="135"/>
      <c r="F43" s="136"/>
      <c r="G43" s="23">
        <f>(G37+G38-G39)*(1+'Fane 15. Nøgletal'!C14)</f>
        <v>25762343.969053306</v>
      </c>
      <c r="H43" s="14" t="s">
        <v>3</v>
      </c>
      <c r="I43" s="1"/>
    </row>
    <row r="44" spans="1:9" x14ac:dyDescent="0.25">
      <c r="A44" s="1"/>
      <c r="B44" s="140" t="s">
        <v>232</v>
      </c>
      <c r="C44" s="141"/>
      <c r="D44" s="141"/>
      <c r="E44" s="141"/>
      <c r="F44" s="142"/>
      <c r="G44" s="49">
        <f>('Fane 2.1. Økonomisk ramme 2023'!C10+'Fane 2.1. Økonomisk ramme 2023'!C12+'Fane 2.1. Økonomisk ramme 2023'!C14)*(1+'Fane 15. Nøgletal'!C15)</f>
        <v>308960.68693824002</v>
      </c>
      <c r="H44" s="14" t="s">
        <v>3</v>
      </c>
      <c r="I44" s="1"/>
    </row>
    <row r="45" spans="1:9" x14ac:dyDescent="0.25">
      <c r="A45" s="1"/>
      <c r="B45" s="134" t="s">
        <v>163</v>
      </c>
      <c r="C45" s="135"/>
      <c r="D45" s="135"/>
      <c r="E45" s="135"/>
      <c r="F45" s="136"/>
      <c r="G45" s="23">
        <f>SUM(G43:G44)*'Fane 15. Nøgletal'!C31</f>
        <v>521426.09311983094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5" t="s">
        <v>243</v>
      </c>
      <c r="C51" s="126"/>
      <c r="D51" s="126"/>
      <c r="E51" s="126"/>
      <c r="F51" s="126"/>
      <c r="G51" s="126"/>
      <c r="H51" s="127"/>
      <c r="I51" s="1"/>
    </row>
    <row r="52" spans="1:9" x14ac:dyDescent="0.25">
      <c r="A52" s="1"/>
      <c r="B52" s="134" t="s">
        <v>229</v>
      </c>
      <c r="C52" s="135"/>
      <c r="D52" s="135"/>
      <c r="E52" s="135"/>
      <c r="F52" s="136"/>
      <c r="G52" s="23">
        <f>(G43+G44-G45)*(1+'Fane 15. Nøgletal'!C15)</f>
        <v>26459454.239709951</v>
      </c>
      <c r="H52" s="14" t="s">
        <v>3</v>
      </c>
      <c r="I52" s="1"/>
    </row>
    <row r="53" spans="1:9" x14ac:dyDescent="0.25">
      <c r="A53" s="1"/>
      <c r="B53" s="134" t="s">
        <v>138</v>
      </c>
      <c r="C53" s="135"/>
      <c r="D53" s="135"/>
      <c r="E53" s="135"/>
      <c r="F53" s="136"/>
      <c r="G53" s="23">
        <f>(G52)*'Fane 15. Nøgletal'!C31</f>
        <v>529189.08479419898</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5" t="s">
        <v>150</v>
      </c>
      <c r="C56" s="126"/>
      <c r="D56" s="126"/>
      <c r="E56" s="126"/>
      <c r="F56" s="126"/>
      <c r="G56" s="126"/>
      <c r="H56" s="127"/>
      <c r="I56" s="1"/>
    </row>
    <row r="57" spans="1:9" x14ac:dyDescent="0.25">
      <c r="A57" s="1"/>
      <c r="B57" s="89" t="s">
        <v>151</v>
      </c>
      <c r="C57" s="90"/>
      <c r="D57" s="90"/>
      <c r="E57" s="90"/>
      <c r="F57" s="91"/>
      <c r="G57" s="23">
        <f>(G52-G53)*(1+'Fane 15. Nøgletal'!C15)</f>
        <v>26853382.594430756</v>
      </c>
      <c r="H57" s="14" t="s">
        <v>3</v>
      </c>
      <c r="I57" s="1"/>
    </row>
    <row r="58" spans="1:9" x14ac:dyDescent="0.25">
      <c r="A58" s="1"/>
      <c r="B58" s="89" t="s">
        <v>152</v>
      </c>
      <c r="C58" s="90"/>
      <c r="D58" s="90"/>
      <c r="E58" s="90"/>
      <c r="F58" s="91"/>
      <c r="G58" s="23">
        <f>(G57)*'Fane 15. Nøgletal'!C31</f>
        <v>537067.6518886151</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5" t="s">
        <v>194</v>
      </c>
      <c r="C61" s="126"/>
      <c r="D61" s="126"/>
      <c r="E61" s="126"/>
      <c r="F61" s="126"/>
      <c r="G61" s="126"/>
      <c r="H61" s="127"/>
      <c r="I61" s="1"/>
    </row>
    <row r="62" spans="1:9" x14ac:dyDescent="0.25">
      <c r="A62" s="1"/>
      <c r="B62" s="89" t="s">
        <v>195</v>
      </c>
      <c r="C62" s="90"/>
      <c r="D62" s="90"/>
      <c r="E62" s="90"/>
      <c r="F62" s="91"/>
      <c r="G62" s="23">
        <f>(G57-G58)*(1+'Fane 15. Nøgletal'!C15)</f>
        <v>27253175.754496641</v>
      </c>
      <c r="H62" s="14" t="s">
        <v>3</v>
      </c>
      <c r="I62" s="1"/>
    </row>
    <row r="63" spans="1:9" x14ac:dyDescent="0.25">
      <c r="A63" s="1"/>
      <c r="B63" s="89" t="s">
        <v>196</v>
      </c>
      <c r="C63" s="90"/>
      <c r="D63" s="90"/>
      <c r="E63" s="90"/>
      <c r="F63" s="91"/>
      <c r="G63" s="23">
        <f>(G62)*'Fane 15. Nøgletal'!C31</f>
        <v>545063.51508993283</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fzyLnieismTIU1oA0ZCDaB1FQ5flMkidj42x2YWMQksc25GFuWd+IwjnN2g8vpThFcTGZIc5G6d9Lmopd+xHjw==" saltValue="2opk60MkTHjJs66eCzqXH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5" t="s">
        <v>56</v>
      </c>
      <c r="C4" s="126"/>
      <c r="D4" s="126"/>
      <c r="E4" s="126"/>
      <c r="F4" s="126"/>
      <c r="G4" s="126"/>
      <c r="H4" s="127"/>
      <c r="I4" s="1"/>
    </row>
    <row r="5" spans="1:9" x14ac:dyDescent="0.25">
      <c r="A5" s="1"/>
      <c r="B5" s="134" t="s">
        <v>61</v>
      </c>
      <c r="C5" s="135"/>
      <c r="D5" s="135"/>
      <c r="E5" s="135"/>
      <c r="F5" s="136"/>
      <c r="G5" s="23">
        <v>51205381</v>
      </c>
      <c r="H5" s="14" t="s">
        <v>3</v>
      </c>
      <c r="I5" s="1"/>
    </row>
    <row r="6" spans="1:9" x14ac:dyDescent="0.25">
      <c r="A6" s="1"/>
      <c r="B6" s="134" t="s">
        <v>57</v>
      </c>
      <c r="C6" s="135"/>
      <c r="D6" s="135"/>
      <c r="E6" s="135"/>
      <c r="F6" s="136"/>
      <c r="G6" s="23">
        <f>G5*'Fane 15. Nøgletal'!C20</f>
        <v>465968.96710000001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5" t="s">
        <v>62</v>
      </c>
      <c r="C9" s="126"/>
      <c r="D9" s="126"/>
      <c r="E9" s="126"/>
      <c r="F9" s="126"/>
      <c r="G9" s="126"/>
      <c r="H9" s="127"/>
      <c r="I9" s="1"/>
    </row>
    <row r="10" spans="1:9" x14ac:dyDescent="0.25">
      <c r="A10" s="1"/>
      <c r="B10" s="134" t="s">
        <v>63</v>
      </c>
      <c r="C10" s="135"/>
      <c r="D10" s="135"/>
      <c r="E10" s="135"/>
      <c r="F10" s="136"/>
      <c r="G10" s="23">
        <f>(G5-G6)*(1+'Fane 15. Nøgletal'!C10)</f>
        <v>51627351.74347575</v>
      </c>
      <c r="H10" s="14" t="s">
        <v>3</v>
      </c>
      <c r="I10" s="1"/>
    </row>
    <row r="11" spans="1:9" x14ac:dyDescent="0.25">
      <c r="A11" s="1"/>
      <c r="B11" s="134" t="s">
        <v>122</v>
      </c>
      <c r="C11" s="135"/>
      <c r="D11" s="135"/>
      <c r="E11" s="135"/>
      <c r="F11" s="136"/>
      <c r="G11" s="73">
        <v>-292843.99243548943</v>
      </c>
      <c r="H11" s="14" t="s">
        <v>3</v>
      </c>
      <c r="I11" s="1"/>
    </row>
    <row r="12" spans="1:9" x14ac:dyDescent="0.25">
      <c r="A12" s="1"/>
      <c r="B12" s="137" t="s">
        <v>64</v>
      </c>
      <c r="C12" s="138"/>
      <c r="D12" s="138"/>
      <c r="E12" s="138"/>
      <c r="F12" s="139"/>
      <c r="G12" s="9">
        <v>0</v>
      </c>
      <c r="H12" s="14" t="s">
        <v>3</v>
      </c>
      <c r="I12" s="1"/>
    </row>
    <row r="13" spans="1:9" x14ac:dyDescent="0.25">
      <c r="A13" s="1"/>
      <c r="B13" s="134" t="s">
        <v>65</v>
      </c>
      <c r="C13" s="135"/>
      <c r="D13" s="135"/>
      <c r="E13" s="135"/>
      <c r="F13" s="136"/>
      <c r="G13" s="23">
        <f>SUM(G10:G12)*'Fane 15. Nøgletal'!C21</f>
        <v>908620.78719341254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5" t="s">
        <v>66</v>
      </c>
      <c r="C16" s="126"/>
      <c r="D16" s="126"/>
      <c r="E16" s="126"/>
      <c r="F16" s="126"/>
      <c r="G16" s="126"/>
      <c r="H16" s="127"/>
      <c r="I16" s="1"/>
    </row>
    <row r="17" spans="1:9" x14ac:dyDescent="0.25">
      <c r="A17" s="1"/>
      <c r="B17" s="134" t="s">
        <v>67</v>
      </c>
      <c r="C17" s="135"/>
      <c r="D17" s="135"/>
      <c r="E17" s="135"/>
      <c r="F17" s="136"/>
      <c r="G17" s="23">
        <f>(SUM(G10:G12)-G13)*(1+'Fane 15. Nøgletal'!C10)</f>
        <v>51308339.985714167</v>
      </c>
      <c r="H17" s="14" t="s">
        <v>3</v>
      </c>
      <c r="I17" s="1"/>
    </row>
    <row r="18" spans="1:9" x14ac:dyDescent="0.25">
      <c r="A18" s="1"/>
      <c r="B18" s="137" t="s">
        <v>68</v>
      </c>
      <c r="C18" s="138"/>
      <c r="D18" s="138"/>
      <c r="E18" s="138"/>
      <c r="F18" s="139"/>
      <c r="G18" s="23">
        <v>113712.19001803997</v>
      </c>
      <c r="H18" s="14" t="s">
        <v>3</v>
      </c>
      <c r="I18" s="1"/>
    </row>
    <row r="19" spans="1:9" x14ac:dyDescent="0.25">
      <c r="A19" s="1"/>
      <c r="B19" s="134" t="s">
        <v>69</v>
      </c>
      <c r="C19" s="135"/>
      <c r="D19" s="135"/>
      <c r="E19" s="135"/>
      <c r="F19" s="136"/>
      <c r="G19" s="23">
        <f>G17*'Fane 15. Nøgletal'!C21+G18*'Fane 15. Nøgletal'!C22</f>
        <v>909146.91380029777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5" t="s">
        <v>70</v>
      </c>
      <c r="C22" s="126"/>
      <c r="D22" s="126"/>
      <c r="E22" s="126"/>
      <c r="F22" s="126"/>
      <c r="G22" s="126"/>
      <c r="H22" s="127"/>
      <c r="I22" s="1"/>
    </row>
    <row r="23" spans="1:9" x14ac:dyDescent="0.25">
      <c r="A23" s="1"/>
      <c r="B23" s="134" t="s">
        <v>71</v>
      </c>
      <c r="C23" s="135"/>
      <c r="D23" s="135"/>
      <c r="E23" s="135"/>
      <c r="F23" s="136"/>
      <c r="G23" s="23">
        <f>(G17+G18-G19)*(1+'Fane 15. Nøgletal'!C12)</f>
        <v>51508009.495591976</v>
      </c>
      <c r="H23" s="14" t="s">
        <v>3</v>
      </c>
      <c r="I23" s="1"/>
    </row>
    <row r="24" spans="1:9" x14ac:dyDescent="0.25">
      <c r="A24" s="1"/>
      <c r="B24" s="137" t="s">
        <v>72</v>
      </c>
      <c r="C24" s="138"/>
      <c r="D24" s="138"/>
      <c r="E24" s="138"/>
      <c r="F24" s="139"/>
      <c r="G24" s="23">
        <v>1072191.92819411</v>
      </c>
      <c r="H24" s="14" t="s">
        <v>3</v>
      </c>
      <c r="I24" s="1"/>
    </row>
    <row r="25" spans="1:9" x14ac:dyDescent="0.25">
      <c r="A25" s="1"/>
      <c r="B25" s="134" t="s">
        <v>73</v>
      </c>
      <c r="C25" s="135"/>
      <c r="D25" s="135"/>
      <c r="E25" s="135"/>
      <c r="F25" s="136"/>
      <c r="G25" s="23">
        <f>(G23+G24)*'Fane 15. Nøgletal'!C23</f>
        <v>1493277.7204355251</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5" t="s">
        <v>74</v>
      </c>
      <c r="C28" s="126"/>
      <c r="D28" s="126"/>
      <c r="E28" s="126"/>
      <c r="F28" s="126"/>
      <c r="G28" s="126"/>
      <c r="H28" s="127"/>
      <c r="I28" s="1"/>
    </row>
    <row r="29" spans="1:9" x14ac:dyDescent="0.25">
      <c r="A29" s="1"/>
      <c r="B29" s="134" t="s">
        <v>75</v>
      </c>
      <c r="C29" s="135"/>
      <c r="D29" s="135"/>
      <c r="E29" s="135"/>
      <c r="F29" s="136"/>
      <c r="G29" s="23">
        <f>(G23+G24-G25)*(1+'Fane 15. Nøgletal'!C12)</f>
        <v>52093336.100306578</v>
      </c>
      <c r="H29" s="14" t="s">
        <v>3</v>
      </c>
      <c r="I29" s="1"/>
    </row>
    <row r="30" spans="1:9" x14ac:dyDescent="0.25">
      <c r="A30" s="1"/>
      <c r="B30" s="134" t="s">
        <v>139</v>
      </c>
      <c r="C30" s="135"/>
      <c r="D30" s="135"/>
      <c r="E30" s="135"/>
      <c r="F30" s="136"/>
      <c r="G30" s="23">
        <v>17783.094215879999</v>
      </c>
      <c r="H30" s="14" t="s">
        <v>3</v>
      </c>
      <c r="I30" s="1"/>
    </row>
    <row r="31" spans="1:9" x14ac:dyDescent="0.25">
      <c r="A31" s="1"/>
      <c r="B31" s="134" t="s">
        <v>76</v>
      </c>
      <c r="C31" s="135"/>
      <c r="D31" s="135"/>
      <c r="E31" s="135"/>
      <c r="F31" s="136"/>
      <c r="G31" s="23">
        <f>G29*'Fane 15. Nøgletal'!C23+G30*'Fane 15. Nøgletal'!C24</f>
        <v>1479939.7803396438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5" t="s">
        <v>165</v>
      </c>
      <c r="C34" s="126"/>
      <c r="D34" s="126"/>
      <c r="E34" s="126"/>
      <c r="F34" s="126"/>
      <c r="G34" s="126"/>
      <c r="H34" s="127"/>
      <c r="I34" s="1"/>
    </row>
    <row r="35" spans="1:9" x14ac:dyDescent="0.25">
      <c r="A35" s="1"/>
      <c r="B35" s="134" t="s">
        <v>78</v>
      </c>
      <c r="C35" s="135"/>
      <c r="D35" s="135"/>
      <c r="E35" s="135"/>
      <c r="F35" s="136"/>
      <c r="G35" s="23">
        <f>(G29+G30-G31)*(1+'Fane 15. Nøgletal'!C14)</f>
        <v>50798262.306249619</v>
      </c>
      <c r="H35" s="14" t="s">
        <v>3</v>
      </c>
      <c r="I35" s="1"/>
    </row>
    <row r="36" spans="1:9" x14ac:dyDescent="0.25">
      <c r="A36" s="1"/>
      <c r="B36" s="134" t="s">
        <v>167</v>
      </c>
      <c r="C36" s="135"/>
      <c r="D36" s="135"/>
      <c r="E36" s="135"/>
      <c r="F36" s="136"/>
      <c r="G36" s="23">
        <v>79721.569266220016</v>
      </c>
      <c r="H36" s="14" t="s">
        <v>3</v>
      </c>
      <c r="I36" s="1"/>
    </row>
    <row r="37" spans="1:9" x14ac:dyDescent="0.25">
      <c r="A37" s="1"/>
      <c r="B37" s="134" t="s">
        <v>166</v>
      </c>
      <c r="C37" s="135"/>
      <c r="D37" s="135"/>
      <c r="E37" s="135"/>
      <c r="F37" s="136"/>
      <c r="G37" s="23">
        <f>(G35+G36)*'Fane 15. Nøgletal'!C25</f>
        <v>752994.16135763447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5" t="s">
        <v>223</v>
      </c>
      <c r="C40" s="126"/>
      <c r="D40" s="126"/>
      <c r="E40" s="126"/>
      <c r="F40" s="126"/>
      <c r="G40" s="126"/>
      <c r="H40" s="127"/>
      <c r="I40" s="1"/>
    </row>
    <row r="41" spans="1:9" x14ac:dyDescent="0.25">
      <c r="A41" s="1"/>
      <c r="B41" s="134" t="s">
        <v>77</v>
      </c>
      <c r="C41" s="135"/>
      <c r="D41" s="135"/>
      <c r="E41" s="135"/>
      <c r="F41" s="136"/>
      <c r="G41" s="23">
        <f>(G35+G36-G37)*(1+'Fane 15. Nøgletal'!C14)</f>
        <v>50290402.180214934</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1250779.0006756801</v>
      </c>
      <c r="H42" s="14" t="s">
        <v>3</v>
      </c>
      <c r="I42" s="1"/>
    </row>
    <row r="43" spans="1:9" x14ac:dyDescent="0.25">
      <c r="A43" s="1"/>
      <c r="B43" s="134" t="s">
        <v>168</v>
      </c>
      <c r="C43" s="135"/>
      <c r="D43" s="135"/>
      <c r="E43" s="135"/>
      <c r="F43" s="136"/>
      <c r="G43" s="23">
        <f>(G41)*'Fane 15. Nøgletal'!C25+G42*'Fane 15. Nøgletal'!C26</f>
        <v>744297.95226718101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5" t="s">
        <v>244</v>
      </c>
      <c r="C52" s="126"/>
      <c r="D52" s="126"/>
      <c r="E52" s="126"/>
      <c r="F52" s="126"/>
      <c r="G52" s="126"/>
      <c r="H52" s="127"/>
      <c r="I52" s="1"/>
    </row>
    <row r="53" spans="1:9" x14ac:dyDescent="0.25">
      <c r="A53" s="1"/>
      <c r="B53" s="134" t="s">
        <v>140</v>
      </c>
      <c r="C53" s="135"/>
      <c r="D53" s="135"/>
      <c r="E53" s="135"/>
      <c r="F53" s="136"/>
      <c r="G53" s="23">
        <f>(G41+G42-G43)*(1+'Fane 15. Nøgletal'!C15)</f>
        <v>52605252.271562435</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5" t="s">
        <v>153</v>
      </c>
      <c r="C57" s="126"/>
      <c r="D57" s="126"/>
      <c r="E57" s="126"/>
      <c r="F57" s="126"/>
      <c r="G57" s="126"/>
      <c r="H57" s="127"/>
      <c r="I57" s="1"/>
    </row>
    <row r="58" spans="1:9" x14ac:dyDescent="0.25">
      <c r="A58" s="1"/>
      <c r="B58" s="134" t="s">
        <v>173</v>
      </c>
      <c r="C58" s="135"/>
      <c r="D58" s="135"/>
      <c r="E58" s="135"/>
      <c r="F58" s="136"/>
      <c r="G58" s="23">
        <f>(G53-G54)*(1+'Fane 15. Nøgletal'!C15)</f>
        <v>54477999.252430059</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5" t="s">
        <v>197</v>
      </c>
      <c r="C62" s="126"/>
      <c r="D62" s="126"/>
      <c r="E62" s="126"/>
      <c r="F62" s="126"/>
      <c r="G62" s="126"/>
      <c r="H62" s="127"/>
      <c r="I62" s="1"/>
    </row>
    <row r="63" spans="1:9" x14ac:dyDescent="0.25">
      <c r="A63" s="1"/>
      <c r="B63" s="134" t="s">
        <v>198</v>
      </c>
      <c r="C63" s="135"/>
      <c r="D63" s="135"/>
      <c r="E63" s="135"/>
      <c r="F63" s="136"/>
      <c r="G63" s="23">
        <f>(G58-G59)*(1+'Fane 15. Nøgletal'!C15)</f>
        <v>56417416.025816575</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E8VVTFaJ62bVir5+lXEi2/m9MM32vZoqNhy843r7IKz72h3kpH5UuHi5aXQEaATDP6p8fXJl/VcJlvSoBx7Ojg==" saltValue="RTw3/wqsUAzITUJZFD2o7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10</v>
      </c>
      <c r="C8" s="126"/>
      <c r="D8" s="126"/>
      <c r="E8" s="126"/>
      <c r="F8" s="126"/>
      <c r="G8" s="126"/>
      <c r="H8" s="1"/>
    </row>
    <row r="9" spans="1:8" x14ac:dyDescent="0.25">
      <c r="A9" s="1"/>
      <c r="B9" s="134" t="s">
        <v>154</v>
      </c>
      <c r="C9" s="135"/>
      <c r="D9" s="135"/>
      <c r="E9" s="135"/>
      <c r="F9" s="136"/>
      <c r="G9" s="36">
        <v>0</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3lyaV0LMbMEbMRMKYHng9DejT2QFWLjV11nyT+jGB/I3BV7SfKGbt8vEUmgY+NcPvISQ1ki5YTP7dAXfNJA/Uw==" saltValue="FhQ+D+3gVUFJz/5fxHda1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2022-12-01T08:23:50Z</dcterms:modified>
</cp:coreProperties>
</file>