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ORS Spildevand Holbæk AS (S04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6"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7"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<sst xmlns="http://schemas.openxmlformats.org/spreadsheetml/2006/main" count="617" uniqueCount="291">
  <si>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</si>
  <si>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</si>
  <si>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</si>
  <si>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</si>
  <si>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</si>
  <si>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</si>
  <si>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</si>
  <si>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</si>
  <si>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</si>
  <si>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</si>
  <si>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</si>
  <si>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</si>
  <si>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</si>
  <si>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</si>
  <si>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</si>
  <si>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</si>
  <si>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</si>
  <si>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</si>
  <si>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</si>
  <si>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</si>
  <si>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</si>
  <si>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</si>
  <si>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</si>
  <si>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</si>
  <si>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</si>
  <si>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</si>
  <si>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</si>
  <si>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</si>
  <si>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</si>
  <si>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</si>
  <si>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</si>
  <si>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</si>
  <si>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</si>
  <si>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</si>
  <si>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</si>
  <si>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</si>
  <si>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</si>
  <si>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</si>
  <si>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</si>
  <si>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</si>
  <si>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</si>
  <si>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</si>
  <si>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</si>
  <si>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</si>
  <si>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</si>
  <si>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</si>
  <si>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</si>
  <si>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</si>
  <si>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</si>
  <si>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</si>
  <si>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</si>
  <si>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</si>
  <si>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</si>
  <si>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</si>
  <si>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</si>
  <si>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</si>
  <si>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</si>
  <si>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</si>
  <si>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</si>
  <si>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</si>
  <si>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</si>
  <si>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</si>
  <si>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</si>
  <si>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</si>
  <si>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</si>
  <si>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</si>
  <si>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</si>
  <si>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</si>
  <si>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</si>
  <si>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</si>
  <si>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</si>
  <si>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</si>
  <si>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</si>
  <si>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</si>
  <si>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</si>
  <si>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</si>
  <si>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</si>
  <si>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</si>
  <si>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</si>
  <si>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</si>
  <si>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</si>
  <si>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</si>
  <si>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</si>
  <si>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</si>
  <si>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</si>
  <si>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</si>
  <si>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</si>
  <si>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</si>
  <si>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</si>
  <si>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</si>
  <si>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</si>
  <si>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</si>
  <si>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</si>
  <si>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</si>
  <si>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</si>
  <si>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</si>
  <si>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</si>
  <si>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</si>
  <si>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</si>
  <si>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</si>
  <si>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</si>
  <si>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</si>
  <si>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</si>
  <si>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</si>
  <si>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</si>
  <si>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</si>
  <si>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</si>
  <si>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</si>
  <si>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</si>
  <si>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</si>
  <si>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</si>
  <si>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</si>
  <si>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</si>
  <si>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</si>
  <si>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</si>
  <si>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</si>
  <si>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</si>
  <si>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</si>
  <si>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</si>
  <si>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</si>
  <si>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</si>
  <si>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</si>
  <si>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</si>
  <si>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</si>
  <si>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</si>
  <si>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</si>
  <si>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</si>
  <si>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</si>
  <si>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</si>
  <si>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</si>
  <si>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</si>
  <si>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</si>
  <si>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</si>
  <si>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</si>
  <si>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</si>
  <si>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</si>
  <si>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</si>
  <si>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</si>
  <si>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</si>
  <si>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</si>
  <si>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</si>
  <si>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</si>
  <si>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</si>
  <si>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</si>
  <si>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</si>
  <si>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</si>
  <si>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</si>
  <si>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</si>
  <si>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</si>
  <si>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</si>
  <si>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</si>
  <si>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</si>
  <si>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</si>
  <si>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</si>
  <si>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</si>
  <si>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</si>
  <si>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</si>
  <si>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</si>
  <si>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</si>
  <si>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</si>
  <si>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</si>
  <si>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</si>
  <si>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</si>
  <si>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</si>
  <si>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</si>
  <si>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</si>
  <si>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</si>
  <si>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</si>
  <si>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</si>
  <si>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</si>
  <si>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</si>
  <si>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</si>
  <si>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</si>
  <si>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</si>
  <si>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</si>
  <si>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</si>
  <si>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</si>
  <si>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</si>
  <si>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</si>
  <si>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</si>
  <si>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</si>
  <si>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</si>
  <si>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</si>
  <si>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</si>
  <si>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</si>
  <si>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</si>
  <si>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</si>
  <si>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</si>
  <si>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</si>
  <si>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</si>
  <si>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</si>
  <si>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</si>
  <si>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</si>
  <si>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</si>
  <si>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</si>
  <si>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</si>
  <si>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</si>
  <si>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</si>
  <si>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</si>
  <si>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</si>
  <si>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</si>
  <si>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</si>
  <si>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</si>
  <si>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</si>
  <si>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</si>
  <si>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</si>
  <si>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</si>
  <si>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</si>
  <si>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</si>
  <si>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</si>
  <si>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</si>
  <si>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</si>
  <si>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</si>
  <si>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</si>
  <si>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</si>
  <si>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</si>
  <si>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</si>
  <si>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</si>
  <si>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</si>
  <si>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</si>
  <si>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</si>
  <si>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</si>
  <si>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</si>
  <si>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</si>
  <si>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</si>
  <si>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</si>
  <si>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</si>
  <si>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</si>
  <si>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</si>
  <si>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</si>
  <si>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</si>
  <si>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</si>
  <si>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</si>
  <si>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</si>
  <si>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</si>
  <si>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</si>
  <si>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</si>
  <si>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</si>
  <si>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</si>
  <si>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</si>
  <si>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</si>
  <si>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</si>
  <si>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</si>
  <si>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</si>
  <si>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</si>
  <si>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</si>
  <si>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</si>
  <si>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</si>
  <si>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</si>
  <si>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</si>
  <si>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</si>
  <si>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</si>
  <si>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</si>
  <si>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</si>
  <si>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</si>
  <si>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</si>
  <si>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</si>
  <si>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</si>
  <si>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</si>
  <si>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</si>
  <si>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</si>
  <si>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</si>
  <si>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</si>
  <si>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</si>
  <si>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</si>
  <si>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</si>
  <si>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</si>
  <si>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</si>
  <si>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</si>
  <si>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Tjenestemandspensioner</t>
  </si>
  <si>
    <t>Erstatninger</t>
  </si>
  <si>
    <t>Resultat af kontrol med overholdelse af den økonomiske ramme for 2021</t>
  </si>
  <si>
    <t>Flytning af ledninger</t>
  </si>
  <si>
    <t>Byggemodninger og nye tilslutninger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</si>
  <si>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</si>
  <si>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</si>
  <si>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</si>
  <si>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</si>
  <si>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</si>
  <si>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</si>
  <si>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</si>
  <si>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</si>
  <si>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</si>
  <si>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Ledningsnet ≤ Ø 200 mm</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</si>
  <si>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</si>
  <si>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</si>
  <si>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</si>
  <si>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</si>
  <si>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</si>
  <si>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 xml:space="preserve">Note: Opgørelsen af over/underdækningen er taget fra jeres tidligere fremsendte økonomiske rammer og statusmeddelelser. I kan derfor ikke komme med høringssvar til denne opgørelse. </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</si>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</sst>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1"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7" fillId="3" borderId="1" xfId="0" applyFont="1" applyFill="1" applyBorder="1" applyAlignment="1" applyProtection="1">
      <alignment horizontal="center"/>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rAJp6PV9LghF2Cp8Sre32g1HitCSFVKt6iEzKoTXtHaS3oCtAfBSOrRUkAvYpbYtyDX9xs7FW0i/scNAgtxfg==" saltValue="mIUS7OaP6kUatzZjCrmk1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7" t="s">
        <v>240</v>
      </c>
      <c r="D9" s="11"/>
      <c r="E9" s="1"/>
      <c r="F9" s="1"/>
    </row>
    <row r="10" spans="1:6" x14ac:dyDescent="0.25">
      <c r="A10" s="1"/>
      <c r="B10" s="93" t="s">
        <v>265</v>
      </c>
      <c r="C10" s="9">
        <v>1940458</v>
      </c>
      <c r="D10" s="14" t="s">
        <v>3</v>
      </c>
      <c r="E10" s="1"/>
      <c r="F10" s="1"/>
    </row>
    <row r="11" spans="1:6" x14ac:dyDescent="0.25">
      <c r="A11" s="1"/>
      <c r="B11" s="93" t="s">
        <v>266</v>
      </c>
      <c r="C11" s="9">
        <v>141038</v>
      </c>
      <c r="D11" s="14" t="s">
        <v>3</v>
      </c>
      <c r="E11" s="1"/>
      <c r="F11" s="1"/>
    </row>
    <row r="12" spans="1:6" x14ac:dyDescent="0.25">
      <c r="A12" s="1"/>
      <c r="B12" s="93" t="s">
        <v>267</v>
      </c>
      <c r="C12" s="9">
        <v>30871</v>
      </c>
      <c r="D12" s="14" t="s">
        <v>3</v>
      </c>
      <c r="E12" s="1"/>
      <c r="F12" s="1"/>
    </row>
    <row r="13" spans="1:6" x14ac:dyDescent="0.25">
      <c r="A13" s="1"/>
      <c r="B13" s="93" t="s">
        <v>268</v>
      </c>
      <c r="C13" s="9">
        <v>550406</v>
      </c>
      <c r="D13" s="14" t="s">
        <v>3</v>
      </c>
      <c r="E13" s="1"/>
      <c r="F13" s="1"/>
    </row>
    <row r="14" spans="1:6" x14ac:dyDescent="0.25">
      <c r="A14" s="1"/>
      <c r="B14" s="93" t="s">
        <v>269</v>
      </c>
      <c r="C14" s="9">
        <v>408691</v>
      </c>
      <c r="D14" s="14" t="s">
        <v>3</v>
      </c>
      <c r="E14" s="1"/>
      <c r="F14" s="1"/>
    </row>
    <row r="15" spans="1:6" x14ac:dyDescent="0.25">
      <c r="A15" s="1"/>
      <c r="B15" s="93" t="s">
        <v>270</v>
      </c>
      <c r="C15" s="9">
        <v>169763</v>
      </c>
      <c r="D15" s="14" t="s">
        <v>3</v>
      </c>
      <c r="E15" s="1"/>
      <c r="F15" s="1"/>
    </row>
    <row r="16" spans="1:6" x14ac:dyDescent="0.25">
      <c r="A16" s="1"/>
      <c r="B16" s="32" t="s">
        <v>200</v>
      </c>
      <c r="C16" s="12">
        <f>SUM(C10:C15)</f>
        <v>3241227</v>
      </c>
      <c r="D16" s="13" t="s">
        <v>3</v>
      </c>
      <c r="E16" s="1"/>
      <c r="F16" s="1"/>
    </row>
    <row r="17" spans="1:6" x14ac:dyDescent="0.25">
      <c r="A17" s="1"/>
      <c r="B17" s="32" t="s">
        <v>201</v>
      </c>
      <c r="C17" s="12">
        <f>C16*(1+'Fane 15. Nøgletal'!C15)^2</f>
        <v>3476110.1638507205</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31" t="s">
        <v>117</v>
      </c>
      <c r="C20" s="132"/>
      <c r="D20" s="133"/>
      <c r="E20" s="1"/>
      <c r="F20" s="1"/>
    </row>
    <row r="21" spans="1:6" x14ac:dyDescent="0.25">
      <c r="A21" s="1"/>
      <c r="B21" s="93" t="s">
        <v>99</v>
      </c>
      <c r="C21" s="9">
        <v>10000</v>
      </c>
      <c r="D21" s="14" t="s">
        <v>3</v>
      </c>
      <c r="E21" s="1"/>
      <c r="F21" s="1"/>
    </row>
    <row r="22" spans="1:6" x14ac:dyDescent="0.25">
      <c r="A22" s="1"/>
      <c r="B22" s="93" t="s">
        <v>129</v>
      </c>
      <c r="C22" s="9">
        <v>10000</v>
      </c>
      <c r="D22" s="14" t="s">
        <v>3</v>
      </c>
      <c r="E22" s="1"/>
      <c r="F22" s="1"/>
    </row>
    <row r="23" spans="1:6" x14ac:dyDescent="0.25">
      <c r="A23" s="1"/>
      <c r="B23" s="93" t="s">
        <v>155</v>
      </c>
      <c r="C23" s="9">
        <v>10000</v>
      </c>
      <c r="D23" s="14" t="s">
        <v>3</v>
      </c>
      <c r="E23" s="1"/>
      <c r="F23" s="1"/>
    </row>
    <row r="24" spans="1:6" x14ac:dyDescent="0.25">
      <c r="A24" s="1"/>
      <c r="B24" s="33" t="s">
        <v>202</v>
      </c>
      <c r="C24" s="9">
        <v>10000</v>
      </c>
      <c r="D24" s="40" t="s">
        <v>3</v>
      </c>
      <c r="E24" s="1"/>
      <c r="F24" s="1"/>
    </row>
    <row r="25" spans="1:6" x14ac:dyDescent="0.25">
      <c r="A25" s="1"/>
      <c r="B25" s="131"/>
      <c r="C25" s="132"/>
      <c r="D25" s="133"/>
      <c r="E25" s="1"/>
      <c r="F25" s="1"/>
    </row>
    <row r="26" spans="1:6" x14ac:dyDescent="0.25">
      <c r="A26" s="1"/>
      <c r="B26" s="1"/>
      <c r="C26" s="1"/>
      <c r="D26" s="1"/>
      <c r="E26" s="1"/>
      <c r="F26" s="1"/>
    </row>
    <row r="27" spans="1:6" x14ac:dyDescent="0.25">
      <c r="A27" s="1"/>
      <c r="B27" s="1"/>
      <c r="C27" s="1"/>
      <c r="D27" s="1"/>
      <c r="E27" s="1"/>
      <c r="F27" s="1"/>
    </row>
    <row r="28" spans="1:6" x14ac:dyDescent="0.25">
      <c r="A28" s="1"/>
      <c r="B28" s="131" t="s">
        <v>98</v>
      </c>
      <c r="C28" s="132"/>
      <c r="D28" s="133"/>
      <c r="E28" s="1"/>
      <c r="F28" s="1"/>
    </row>
    <row r="29" spans="1:6" x14ac:dyDescent="0.25">
      <c r="A29" s="1"/>
      <c r="B29" s="93" t="s">
        <v>99</v>
      </c>
      <c r="C29" s="9">
        <v>0</v>
      </c>
      <c r="D29" s="14" t="s">
        <v>3</v>
      </c>
      <c r="E29" s="1"/>
      <c r="F29" s="1"/>
    </row>
    <row r="30" spans="1:6" x14ac:dyDescent="0.25">
      <c r="A30" s="1"/>
      <c r="B30" s="93" t="s">
        <v>129</v>
      </c>
      <c r="C30" s="9">
        <v>0</v>
      </c>
      <c r="D30" s="14" t="s">
        <v>3</v>
      </c>
      <c r="E30" s="1"/>
      <c r="F30" s="1"/>
    </row>
    <row r="31" spans="1:6" x14ac:dyDescent="0.25">
      <c r="A31" s="1"/>
      <c r="B31" s="93" t="s">
        <v>155</v>
      </c>
      <c r="C31" s="9">
        <v>0</v>
      </c>
      <c r="D31" s="14" t="s">
        <v>3</v>
      </c>
      <c r="E31" s="1"/>
      <c r="F31" s="1"/>
    </row>
    <row r="32" spans="1:6" x14ac:dyDescent="0.25">
      <c r="A32" s="1"/>
      <c r="B32" s="33" t="s">
        <v>202</v>
      </c>
      <c r="C32" s="9">
        <v>0</v>
      </c>
      <c r="D32" s="40" t="s">
        <v>3</v>
      </c>
      <c r="E32" s="1"/>
      <c r="F32" s="1"/>
    </row>
    <row r="33" spans="1:6" x14ac:dyDescent="0.25">
      <c r="A33" s="1"/>
      <c r="B33" s="131"/>
      <c r="C33" s="132"/>
      <c r="D33" s="133"/>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sheetData>
  <sheetProtection algorithmName="SHA-512" hashValue="mWy758q3wlcHteO6qPMs95hD5ZSn6MPXksZgDbmK/CLVTd706eDCYAPE04ULa4nGTdnfOQvzel6CPGiivVuqyA==" saltValue="0FDFrlSyK9OAMRc9j/CY5g=="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1.85546875" style="2" customWidth="1"/>
    <col min="5" max="5" width="14.425781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89"/>
      <c r="C5" s="89"/>
      <c r="D5" s="89"/>
      <c r="E5" s="89"/>
      <c r="F5" s="89"/>
      <c r="G5" s="1"/>
    </row>
    <row r="6" spans="1:7" ht="15" customHeight="1" x14ac:dyDescent="0.25">
      <c r="A6" s="1"/>
      <c r="B6" s="89"/>
      <c r="C6" s="89"/>
      <c r="D6" s="89"/>
      <c r="E6" s="89"/>
      <c r="F6" s="89"/>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-13471957.436961621</v>
      </c>
      <c r="F9" s="14" t="s">
        <v>3</v>
      </c>
      <c r="G9" s="1"/>
    </row>
    <row r="10" spans="1:7" x14ac:dyDescent="0.25">
      <c r="A10" s="1"/>
      <c r="B10" s="141" t="s">
        <v>263</v>
      </c>
      <c r="C10" s="142"/>
      <c r="D10" s="143"/>
      <c r="E10" s="9">
        <v>0</v>
      </c>
      <c r="F10" s="14" t="s">
        <v>3</v>
      </c>
      <c r="G10" s="1"/>
    </row>
    <row r="11" spans="1:7" x14ac:dyDescent="0.25">
      <c r="A11" s="1"/>
      <c r="B11" s="32"/>
      <c r="C11" s="27"/>
      <c r="D11" s="27"/>
      <c r="E11" s="27"/>
      <c r="F11" s="19"/>
      <c r="G11" s="1"/>
    </row>
    <row r="12" spans="1:7" ht="82.5" customHeight="1" x14ac:dyDescent="0.25">
      <c r="A12" s="1"/>
      <c r="B12" s="134" t="s">
        <v>290</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284</v>
      </c>
      <c r="C15" s="142"/>
      <c r="D15" s="143"/>
      <c r="E15" s="9">
        <v>0</v>
      </c>
      <c r="F15" s="14" t="s">
        <v>3</v>
      </c>
      <c r="G15" s="1"/>
    </row>
    <row r="16" spans="1:7" x14ac:dyDescent="0.25">
      <c r="A16" s="1"/>
      <c r="B16" s="141" t="s">
        <v>285</v>
      </c>
      <c r="C16" s="142"/>
      <c r="D16" s="143"/>
      <c r="E16" s="9">
        <v>0</v>
      </c>
      <c r="F16" s="14" t="s">
        <v>3</v>
      </c>
      <c r="G16" s="1"/>
    </row>
    <row r="17" spans="1:7" x14ac:dyDescent="0.25">
      <c r="A17" s="1"/>
      <c r="B17" s="32"/>
      <c r="C17" s="27"/>
      <c r="D17" s="27"/>
      <c r="E17" s="27"/>
      <c r="F17" s="19"/>
      <c r="G17" s="1"/>
    </row>
    <row r="18" spans="1:7" ht="27.75" customHeight="1" x14ac:dyDescent="0.25">
      <c r="A18" s="1"/>
      <c r="B18" s="134" t="s">
        <v>289</v>
      </c>
      <c r="C18" s="135"/>
      <c r="D18" s="135"/>
      <c r="E18" s="135"/>
      <c r="F18" s="136"/>
      <c r="G18" s="1"/>
    </row>
    <row r="19" spans="1:7" ht="28.5" customHeight="1" x14ac:dyDescent="0.25">
      <c r="A19" s="1"/>
      <c r="B19" s="1"/>
      <c r="C19" s="1"/>
      <c r="D19" s="1"/>
      <c r="E19" s="1"/>
      <c r="F19" s="1"/>
      <c r="G19" s="1"/>
    </row>
    <row r="20" spans="1:7" ht="28.5" customHeight="1" x14ac:dyDescent="0.25">
      <c r="A20" s="1"/>
      <c r="B20" s="84" t="s">
        <v>205</v>
      </c>
      <c r="C20" s="85"/>
      <c r="D20" s="85"/>
      <c r="E20" s="85"/>
      <c r="F20" s="86"/>
      <c r="G20" s="1"/>
    </row>
    <row r="21" spans="1:7" x14ac:dyDescent="0.25">
      <c r="A21" s="1"/>
      <c r="B21" s="90" t="s">
        <v>206</v>
      </c>
      <c r="C21" s="91"/>
      <c r="D21" s="92"/>
      <c r="E21" s="9">
        <v>109824859.49518554</v>
      </c>
      <c r="F21" s="14" t="s">
        <v>3</v>
      </c>
      <c r="G21" s="1"/>
    </row>
    <row r="22" spans="1:7" x14ac:dyDescent="0.25">
      <c r="A22" s="1"/>
      <c r="B22" s="90" t="s">
        <v>207</v>
      </c>
      <c r="C22" s="91"/>
      <c r="D22" s="92"/>
      <c r="E22" s="9">
        <v>109672026</v>
      </c>
      <c r="F22" s="14" t="s">
        <v>3</v>
      </c>
      <c r="G22" s="1"/>
    </row>
    <row r="23" spans="1:7" x14ac:dyDescent="0.25">
      <c r="A23" s="1"/>
      <c r="B23" s="90" t="s">
        <v>33</v>
      </c>
      <c r="C23" s="91"/>
      <c r="D23" s="92"/>
      <c r="E23" s="9">
        <v>0</v>
      </c>
      <c r="F23" s="14" t="s">
        <v>3</v>
      </c>
      <c r="G23" s="1"/>
    </row>
    <row r="24" spans="1:7" x14ac:dyDescent="0.25">
      <c r="A24" s="1"/>
      <c r="B24" s="87" t="s">
        <v>271</v>
      </c>
      <c r="C24" s="88"/>
      <c r="D24" s="96"/>
      <c r="E24" s="71">
        <f>E21-(E22-E23)</f>
        <v>152833.49518553913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286</v>
      </c>
      <c r="C27" s="132"/>
      <c r="D27" s="132"/>
      <c r="E27" s="132"/>
      <c r="F27" s="133"/>
      <c r="G27" s="1"/>
    </row>
    <row r="28" spans="1:7" x14ac:dyDescent="0.25">
      <c r="A28" s="1"/>
      <c r="B28" s="137" t="s">
        <v>287</v>
      </c>
      <c r="C28" s="138"/>
      <c r="D28" s="159"/>
      <c r="E28" s="72">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60" t="s">
        <v>143</v>
      </c>
      <c r="C32" s="161"/>
      <c r="D32" s="162"/>
      <c r="E32" s="73">
        <f>IF(AND(E9&gt;0,(E9+E24)&gt;0),0,IF(AND(E9&gt;0,(E9+E24)&lt;0),(E9+E24),IF(AND(E9&lt;0,E24&lt;0),E24,0)))</f>
        <v>0</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2">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8"/>
      <c r="B40" s="48"/>
      <c r="C40" s="48"/>
      <c r="D40" s="48"/>
      <c r="E40" s="48"/>
      <c r="F40" s="48"/>
      <c r="G40" s="48"/>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7YQvfv5l3TKlAcGAW/OMQHqCrGX/QouZWCBXLdv3cQkxQ8bboQ37CjFmfr9wIqmdokRwFERF4Ugx2lEm31n9SQ==" saltValue="LNuEZsbY5hEmyMWOY/ii1A=="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8" customWidth="1"/>
    <col min="2" max="2" width="22.5703125" style="68" customWidth="1"/>
    <col min="3" max="3" width="8.28515625" style="68" customWidth="1"/>
    <col min="4" max="6" width="10.7109375" style="68" customWidth="1"/>
    <col min="7" max="7" width="11.140625" style="68" customWidth="1"/>
    <col min="8" max="8" width="3.28515625" style="68" customWidth="1"/>
    <col min="9" max="9" width="4.85546875" style="68" customWidth="1"/>
    <col min="10" max="16384" width="9.140625" style="6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275</v>
      </c>
      <c r="C10" s="164"/>
      <c r="D10" s="164"/>
      <c r="E10" s="164"/>
      <c r="F10" s="165"/>
      <c r="G10" s="9">
        <v>0</v>
      </c>
      <c r="H10" s="9" t="s">
        <v>3</v>
      </c>
      <c r="I10" s="1"/>
    </row>
    <row r="11" spans="1:9" x14ac:dyDescent="0.25">
      <c r="A11" s="1"/>
      <c r="B11" s="163" t="s">
        <v>276</v>
      </c>
      <c r="C11" s="164"/>
      <c r="D11" s="164"/>
      <c r="E11" s="164"/>
      <c r="F11" s="165"/>
      <c r="G11" s="9">
        <v>0</v>
      </c>
      <c r="H11" s="9" t="s">
        <v>3</v>
      </c>
      <c r="I11" s="1"/>
    </row>
    <row r="12" spans="1:9" x14ac:dyDescent="0.25">
      <c r="A12" s="1"/>
      <c r="B12" s="163" t="s">
        <v>277</v>
      </c>
      <c r="C12" s="164"/>
      <c r="D12" s="164"/>
      <c r="E12" s="164"/>
      <c r="F12" s="165"/>
      <c r="G12" s="9">
        <v>0</v>
      </c>
      <c r="H12" s="9" t="s">
        <v>3</v>
      </c>
      <c r="I12" s="1"/>
    </row>
    <row r="13" spans="1:9" x14ac:dyDescent="0.25">
      <c r="A13" s="1"/>
      <c r="B13" s="163" t="s">
        <v>278</v>
      </c>
      <c r="C13" s="164"/>
      <c r="D13" s="164"/>
      <c r="E13" s="164"/>
      <c r="F13" s="165"/>
      <c r="G13" s="9">
        <v>0</v>
      </c>
      <c r="H13" s="9" t="s">
        <v>3</v>
      </c>
      <c r="I13" s="1"/>
    </row>
    <row r="14" spans="1:9" x14ac:dyDescent="0.25">
      <c r="A14" s="1"/>
      <c r="B14" s="163" t="s">
        <v>279</v>
      </c>
      <c r="C14" s="164"/>
      <c r="D14" s="164"/>
      <c r="E14" s="164"/>
      <c r="F14" s="165"/>
      <c r="G14" s="9">
        <v>0</v>
      </c>
      <c r="H14" s="9" t="s">
        <v>3</v>
      </c>
      <c r="I14" s="1"/>
    </row>
    <row r="15" spans="1:9" x14ac:dyDescent="0.25">
      <c r="A15" s="1"/>
      <c r="B15" s="163" t="s">
        <v>280</v>
      </c>
      <c r="C15" s="164"/>
      <c r="D15" s="164"/>
      <c r="E15" s="164"/>
      <c r="F15" s="165"/>
      <c r="G15" s="9">
        <v>0</v>
      </c>
      <c r="H15" s="9" t="s">
        <v>3</v>
      </c>
      <c r="I15" s="1"/>
    </row>
    <row r="16" spans="1:9" x14ac:dyDescent="0.25">
      <c r="A16" s="1"/>
      <c r="B16" s="163" t="s">
        <v>281</v>
      </c>
      <c r="C16" s="164"/>
      <c r="D16" s="164"/>
      <c r="E16" s="164"/>
      <c r="F16" s="165"/>
      <c r="G16" s="9">
        <v>0</v>
      </c>
      <c r="H16" s="9" t="s">
        <v>3</v>
      </c>
      <c r="I16" s="1"/>
    </row>
    <row r="17" spans="1:9" x14ac:dyDescent="0.25">
      <c r="A17" s="1"/>
      <c r="B17" s="163" t="s">
        <v>282</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DHtqIyQSfWK1YhT6BqahEYTYETTxgS2wTra70646bPv8jdCas4OA6DFcf5oUtht3jhZIfKUDVut+nqj/VKWPew==" saltValue="TboJlCr6bQxq4oT2LHZZug=="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20203</v>
      </c>
      <c r="F11" s="8" t="s">
        <v>3</v>
      </c>
      <c r="G11" s="1"/>
    </row>
    <row r="12" spans="1:7" x14ac:dyDescent="0.25">
      <c r="A12" s="1"/>
      <c r="B12" s="137" t="s">
        <v>101</v>
      </c>
      <c r="C12" s="138"/>
      <c r="D12" s="159"/>
      <c r="E12" s="10">
        <f>E11-E10</f>
        <v>20203</v>
      </c>
      <c r="F12" s="11" t="s">
        <v>3</v>
      </c>
      <c r="G12" s="1"/>
    </row>
    <row r="13" spans="1:7" x14ac:dyDescent="0.25">
      <c r="A13" s="1"/>
      <c r="B13" s="131" t="s">
        <v>94</v>
      </c>
      <c r="C13" s="132"/>
      <c r="D13" s="132"/>
      <c r="E13" s="132"/>
      <c r="F13" s="133"/>
      <c r="G13" s="1"/>
    </row>
    <row r="14" spans="1:7" x14ac:dyDescent="0.25">
      <c r="A14" s="1"/>
      <c r="B14" s="141" t="s">
        <v>210</v>
      </c>
      <c r="C14" s="142"/>
      <c r="D14" s="143"/>
      <c r="E14" s="9">
        <v>10000</v>
      </c>
      <c r="F14" s="8" t="s">
        <v>3</v>
      </c>
      <c r="G14" s="1"/>
    </row>
    <row r="15" spans="1:7" x14ac:dyDescent="0.25">
      <c r="A15" s="1"/>
      <c r="B15" s="134" t="s">
        <v>211</v>
      </c>
      <c r="C15" s="135"/>
      <c r="D15" s="136"/>
      <c r="E15" s="9">
        <v>0</v>
      </c>
      <c r="F15" s="8" t="s">
        <v>3</v>
      </c>
      <c r="G15" s="1"/>
    </row>
    <row r="16" spans="1:7" x14ac:dyDescent="0.25">
      <c r="A16" s="1"/>
      <c r="B16" s="137" t="s">
        <v>101</v>
      </c>
      <c r="C16" s="138"/>
      <c r="D16" s="159"/>
      <c r="E16" s="10">
        <f>E15-E14</f>
        <v>-10000</v>
      </c>
      <c r="F16" s="11" t="s">
        <v>3</v>
      </c>
      <c r="G16" s="1"/>
    </row>
    <row r="17" spans="1:7" x14ac:dyDescent="0.25">
      <c r="A17" s="1"/>
      <c r="B17" s="32" t="s">
        <v>212</v>
      </c>
      <c r="C17" s="27"/>
      <c r="D17" s="27"/>
      <c r="E17" s="12">
        <f>E12+E16</f>
        <v>10203</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5uA2ouq46HqINPGLDlo428aFXjsVv1pOcsFzhWzypYSHIHVFjqJG2zX9xCWQ07gKbHSJDriYhyv3UxG96iWCQ==" saltValue="XDVqGLdcM2aN7RHX9ZH+B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283</v>
      </c>
      <c r="C10" s="41">
        <v>75</v>
      </c>
      <c r="D10" s="9">
        <v>0</v>
      </c>
      <c r="E10" s="14" t="s">
        <v>3</v>
      </c>
      <c r="F10" s="9">
        <f>IFERROR(D10/C10,0)</f>
        <v>0</v>
      </c>
      <c r="G10" s="14" t="s">
        <v>3</v>
      </c>
      <c r="H10" s="44">
        <v>239831</v>
      </c>
      <c r="I10" s="14" t="s">
        <v>3</v>
      </c>
      <c r="J10" s="44">
        <v>1162051</v>
      </c>
      <c r="K10" s="14" t="s">
        <v>3</v>
      </c>
      <c r="L10" s="1"/>
    </row>
    <row r="11" spans="1:12" x14ac:dyDescent="0.25">
      <c r="A11" s="1"/>
      <c r="B11" s="84" t="s">
        <v>220</v>
      </c>
      <c r="C11" s="85"/>
      <c r="D11" s="86"/>
      <c r="E11" s="86"/>
      <c r="F11" s="12">
        <f>SUM(F10:F10)</f>
        <v>0</v>
      </c>
      <c r="G11" s="12" t="s">
        <v>243</v>
      </c>
      <c r="H11" s="12">
        <f>SUM(H10:H10)</f>
        <v>239831</v>
      </c>
      <c r="I11" s="12" t="s">
        <v>243</v>
      </c>
      <c r="J11" s="12">
        <f>SUM(J10:J10)</f>
        <v>1162051</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aVHL/TqWvuDJDtrhl4laIfBFZDUzCyyA5e7ch/HC0Lz/U57lXQ3kKms5dDYia++3TjvXMBJ5HfyZQdmu/rohsA==" saltValue="hGaFJ3ZoGVhORfc/CrLZX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2" t="s">
        <v>17</v>
      </c>
      <c r="C9" s="82" t="s">
        <v>11</v>
      </c>
      <c r="D9" s="83"/>
      <c r="E9" s="82" t="s">
        <v>31</v>
      </c>
      <c r="F9" s="31"/>
      <c r="G9" s="1"/>
    </row>
    <row r="10" spans="1:7" x14ac:dyDescent="0.25">
      <c r="A10" s="1"/>
      <c r="B10" s="23" t="s">
        <v>226</v>
      </c>
      <c r="C10" s="21">
        <f>'Fane 10. Anlægsprojekter (§ 19)'!H11</f>
        <v>239831</v>
      </c>
      <c r="D10" s="14" t="s">
        <v>3</v>
      </c>
      <c r="E10" s="9">
        <f>SUM('Fane 10. Anlægsprojekter (§ 19)'!F11,'Fane 10. Anlægsprojekter (§ 19)'!J11)</f>
        <v>1162051</v>
      </c>
      <c r="F10" s="14" t="s">
        <v>3</v>
      </c>
      <c r="G10" s="1"/>
    </row>
    <row r="11" spans="1:7" x14ac:dyDescent="0.25">
      <c r="A11" s="1"/>
      <c r="B11" s="23" t="s">
        <v>272</v>
      </c>
      <c r="C11" s="21">
        <v>0</v>
      </c>
      <c r="D11" s="14" t="s">
        <v>3</v>
      </c>
      <c r="E11" s="9">
        <v>23806</v>
      </c>
      <c r="F11" s="14" t="s">
        <v>3</v>
      </c>
      <c r="G11" s="1"/>
    </row>
    <row r="12" spans="1:7" x14ac:dyDescent="0.25">
      <c r="A12" s="1"/>
      <c r="B12" s="23" t="s">
        <v>273</v>
      </c>
      <c r="C12" s="21">
        <v>92254</v>
      </c>
      <c r="D12" s="14" t="s">
        <v>3</v>
      </c>
      <c r="E12" s="9">
        <v>1617205</v>
      </c>
      <c r="F12" s="14" t="s">
        <v>3</v>
      </c>
      <c r="G12" s="1"/>
    </row>
    <row r="13" spans="1:7" x14ac:dyDescent="0.25">
      <c r="A13" s="1"/>
      <c r="B13" s="23" t="s">
        <v>86</v>
      </c>
      <c r="C13" s="21">
        <v>3984</v>
      </c>
      <c r="D13" s="14" t="s">
        <v>3</v>
      </c>
      <c r="E13" s="9">
        <v>0</v>
      </c>
      <c r="F13" s="14" t="s">
        <v>3</v>
      </c>
      <c r="G13" s="1"/>
    </row>
    <row r="14" spans="1:7" x14ac:dyDescent="0.25">
      <c r="A14" s="1"/>
      <c r="B14" s="32" t="s">
        <v>156</v>
      </c>
      <c r="C14" s="12">
        <f>SUM(C10:C13)</f>
        <v>336069</v>
      </c>
      <c r="D14" s="13" t="s">
        <v>3</v>
      </c>
      <c r="E14" s="12">
        <f>SUM(E10:E13)</f>
        <v>2803062</v>
      </c>
      <c r="F14" s="13" t="s">
        <v>3</v>
      </c>
      <c r="G14" s="1"/>
    </row>
    <row r="15" spans="1:7" x14ac:dyDescent="0.25">
      <c r="A15" s="1"/>
      <c r="B15" s="32" t="s">
        <v>213</v>
      </c>
      <c r="C15" s="12">
        <f>C14*(1+'Fane 15. Nøgletal'!C15)</f>
        <v>348033.0564</v>
      </c>
      <c r="D15" s="13" t="s">
        <v>3</v>
      </c>
      <c r="E15" s="12">
        <f>E14*(1+'Fane 15. Nøgletal'!C15)</f>
        <v>2902851.0072000003</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6Hl2yB0Ha9c8jRHQtdcWgVhYawfhJvS+MutstPYysN90bDBtWkTCpRcrz8XYmb1nwVVf8iYKS0T4eDUqU7oYA==" saltValue="NWaMVT2a8d0mOZ0fHW7uw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2" t="s">
        <v>17</v>
      </c>
      <c r="C9" s="82" t="s">
        <v>11</v>
      </c>
      <c r="D9" s="83"/>
      <c r="E9" s="82" t="s">
        <v>31</v>
      </c>
      <c r="F9" s="31"/>
      <c r="G9" s="1"/>
    </row>
    <row r="10" spans="1:7" x14ac:dyDescent="0.25">
      <c r="A10" s="1"/>
      <c r="B10" s="23" t="s">
        <v>86</v>
      </c>
      <c r="C10" s="21">
        <v>19920</v>
      </c>
      <c r="D10" s="14" t="s">
        <v>3</v>
      </c>
      <c r="E10" s="9">
        <v>0</v>
      </c>
      <c r="F10" s="14" t="s">
        <v>3</v>
      </c>
      <c r="G10" s="1"/>
    </row>
    <row r="11" spans="1:7" x14ac:dyDescent="0.25">
      <c r="A11" s="1"/>
      <c r="B11" s="32" t="s">
        <v>232</v>
      </c>
      <c r="C11" s="12">
        <f>SUM(C10:C10)</f>
        <v>19920</v>
      </c>
      <c r="D11" s="13" t="s">
        <v>3</v>
      </c>
      <c r="E11" s="12">
        <f>SUM(E10:E10)</f>
        <v>0</v>
      </c>
      <c r="F11" s="13" t="s">
        <v>3</v>
      </c>
      <c r="G11" s="1"/>
    </row>
    <row r="12" spans="1:7" x14ac:dyDescent="0.25">
      <c r="A12" s="1"/>
      <c r="B12" s="32" t="s">
        <v>136</v>
      </c>
      <c r="C12" s="12">
        <f>C11*(1+'Fane 15. Nøgletal'!C15)^2</f>
        <v>21363.549811200002</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59"/>
      <c r="C15" s="59"/>
      <c r="D15" s="59"/>
      <c r="E15" s="59"/>
      <c r="F15" s="60"/>
      <c r="G15" s="1"/>
    </row>
    <row r="16" spans="1:7" x14ac:dyDescent="0.25">
      <c r="A16" s="1"/>
      <c r="B16" s="61"/>
      <c r="C16" s="62"/>
      <c r="D16" s="63"/>
      <c r="E16" s="64"/>
      <c r="F16" s="63"/>
      <c r="G16" s="1"/>
    </row>
    <row r="17" spans="1:7" x14ac:dyDescent="0.25">
      <c r="A17" s="1"/>
      <c r="B17" s="61"/>
      <c r="C17" s="62"/>
      <c r="D17" s="63"/>
      <c r="E17" s="64"/>
      <c r="F17" s="63"/>
      <c r="G17" s="1"/>
    </row>
    <row r="18" spans="1:7" x14ac:dyDescent="0.25">
      <c r="A18" s="1"/>
      <c r="B18" s="65"/>
      <c r="C18" s="66"/>
      <c r="D18" s="67"/>
      <c r="E18" s="66"/>
      <c r="F18" s="67"/>
      <c r="G18" s="1"/>
    </row>
    <row r="19" spans="1:7" x14ac:dyDescent="0.25">
      <c r="A19" s="1"/>
      <c r="B19" s="65"/>
      <c r="C19" s="66"/>
      <c r="D19" s="67"/>
      <c r="E19" s="66"/>
      <c r="F19" s="67"/>
      <c r="G19" s="1"/>
    </row>
    <row r="20" spans="1:7" x14ac:dyDescent="0.25">
      <c r="A20" s="1"/>
      <c r="B20" s="58"/>
      <c r="C20" s="58"/>
      <c r="D20" s="58"/>
      <c r="E20" s="58"/>
      <c r="F20" s="58"/>
      <c r="G20" s="1"/>
    </row>
    <row r="21" spans="1:7" x14ac:dyDescent="0.25">
      <c r="A21" s="1"/>
      <c r="B21" s="168"/>
      <c r="C21" s="168"/>
      <c r="D21" s="168"/>
      <c r="E21" s="168"/>
      <c r="F21" s="168"/>
      <c r="G21" s="1"/>
    </row>
    <row r="22" spans="1:7" x14ac:dyDescent="0.25">
      <c r="A22" s="1"/>
      <c r="B22" s="59"/>
      <c r="C22" s="59"/>
      <c r="D22" s="59"/>
      <c r="E22" s="59"/>
      <c r="F22" s="60"/>
      <c r="G22" s="1"/>
    </row>
    <row r="23" spans="1:7" x14ac:dyDescent="0.25">
      <c r="A23" s="1"/>
      <c r="B23" s="61"/>
      <c r="C23" s="62"/>
      <c r="D23" s="63"/>
      <c r="E23" s="64"/>
      <c r="F23" s="63"/>
      <c r="G23" s="1"/>
    </row>
    <row r="24" spans="1:7" x14ac:dyDescent="0.25">
      <c r="A24" s="1"/>
      <c r="B24" s="61"/>
      <c r="C24" s="62"/>
      <c r="D24" s="63"/>
      <c r="E24" s="64"/>
      <c r="F24" s="63"/>
      <c r="G24" s="1"/>
    </row>
    <row r="25" spans="1:7" x14ac:dyDescent="0.25">
      <c r="A25" s="1"/>
      <c r="B25" s="65"/>
      <c r="C25" s="66"/>
      <c r="D25" s="67"/>
      <c r="E25" s="66"/>
      <c r="F25" s="67"/>
      <c r="G25" s="1"/>
    </row>
    <row r="26" spans="1:7" x14ac:dyDescent="0.25">
      <c r="A26" s="1"/>
      <c r="B26" s="65"/>
      <c r="C26" s="66"/>
      <c r="D26" s="67"/>
      <c r="E26" s="66"/>
      <c r="F26" s="67"/>
      <c r="G26" s="1"/>
    </row>
    <row r="27" spans="1:7" x14ac:dyDescent="0.25">
      <c r="A27" s="1"/>
      <c r="B27" s="58"/>
      <c r="C27" s="58"/>
      <c r="D27" s="58"/>
      <c r="E27" s="58"/>
      <c r="F27" s="58"/>
      <c r="G27" s="1"/>
    </row>
    <row r="28" spans="1:7" x14ac:dyDescent="0.25">
      <c r="A28" s="1"/>
      <c r="B28" s="168"/>
      <c r="C28" s="168"/>
      <c r="D28" s="168"/>
      <c r="E28" s="168"/>
      <c r="F28" s="168"/>
      <c r="G28" s="1"/>
    </row>
    <row r="29" spans="1:7" x14ac:dyDescent="0.25">
      <c r="A29" s="1"/>
      <c r="B29" s="59"/>
      <c r="C29" s="59"/>
      <c r="D29" s="59"/>
      <c r="E29" s="59"/>
      <c r="F29" s="60"/>
      <c r="G29" s="1"/>
    </row>
    <row r="30" spans="1:7" x14ac:dyDescent="0.25">
      <c r="A30" s="1"/>
      <c r="B30" s="61"/>
      <c r="C30" s="62"/>
      <c r="D30" s="63"/>
      <c r="E30" s="64"/>
      <c r="F30" s="63"/>
      <c r="G30" s="1"/>
    </row>
    <row r="31" spans="1:7" x14ac:dyDescent="0.25">
      <c r="A31" s="1"/>
      <c r="B31" s="61"/>
      <c r="C31" s="62"/>
      <c r="D31" s="63"/>
      <c r="E31" s="64"/>
      <c r="F31" s="63"/>
      <c r="G31" s="1"/>
    </row>
    <row r="32" spans="1:7" x14ac:dyDescent="0.25">
      <c r="A32" s="1"/>
      <c r="B32" s="65"/>
      <c r="C32" s="66"/>
      <c r="D32" s="67"/>
      <c r="E32" s="66"/>
      <c r="F32" s="67"/>
      <c r="G32" s="1"/>
    </row>
    <row r="33" spans="1:7" x14ac:dyDescent="0.25">
      <c r="A33" s="1"/>
      <c r="B33" s="65"/>
      <c r="C33" s="66"/>
      <c r="D33" s="67"/>
      <c r="E33" s="66"/>
      <c r="F33" s="67"/>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jFOMv7Yw5Y0eOBhLRzK5lxTumh2FsSX5xZo99SHGm5IUBDAtawos4prFU1xTR5O6xIHnzzWijR+crpYjrj8Mag==" saltValue="k4/3g6/r7FJcKJOyl88A7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1784475.171563436</v>
      </c>
      <c r="F10" s="14" t="s">
        <v>3</v>
      </c>
      <c r="G10" s="1"/>
    </row>
    <row r="11" spans="1:7" x14ac:dyDescent="0.25">
      <c r="A11" s="1"/>
      <c r="B11" s="125" t="s">
        <v>10</v>
      </c>
      <c r="C11" s="126"/>
      <c r="D11" s="127"/>
      <c r="E11" s="9">
        <f>-E10*'Fane 5. Individuelt eff. krav'!G9</f>
        <v>-35689.50343126872</v>
      </c>
      <c r="F11" s="14" t="s">
        <v>3</v>
      </c>
      <c r="G11" s="1"/>
    </row>
    <row r="12" spans="1:7" x14ac:dyDescent="0.25">
      <c r="A12" s="1"/>
      <c r="B12" s="125" t="s">
        <v>24</v>
      </c>
      <c r="C12" s="126"/>
      <c r="D12" s="127"/>
      <c r="E12" s="9">
        <f>-E10*'Fane 15. Nøgletal'!C31</f>
        <v>-35689.50343126872</v>
      </c>
      <c r="F12" s="14" t="s">
        <v>3</v>
      </c>
      <c r="G12" s="1"/>
    </row>
    <row r="13" spans="1:7" x14ac:dyDescent="0.25">
      <c r="A13" s="1"/>
      <c r="B13" s="131" t="s">
        <v>92</v>
      </c>
      <c r="C13" s="132"/>
      <c r="D13" s="133"/>
      <c r="E13" s="12">
        <f>SUM(E10:E12)*(1+'Fane 15. Nøgletal'!C15)^2</f>
        <v>1837239.7211828982</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1784475.171563436</v>
      </c>
      <c r="F16" s="14" t="s">
        <v>3</v>
      </c>
      <c r="G16" s="1"/>
    </row>
    <row r="17" spans="1:7" x14ac:dyDescent="0.25">
      <c r="A17" s="1"/>
      <c r="B17" s="125" t="s">
        <v>10</v>
      </c>
      <c r="C17" s="126"/>
      <c r="D17" s="127"/>
      <c r="E17" s="9">
        <f>-E16*'Fane 5. Individuelt eff. krav'!G9</f>
        <v>-35689.50343126872</v>
      </c>
      <c r="F17" s="14" t="s">
        <v>3</v>
      </c>
      <c r="G17" s="1"/>
    </row>
    <row r="18" spans="1:7" x14ac:dyDescent="0.25">
      <c r="A18" s="1"/>
      <c r="B18" s="125" t="s">
        <v>24</v>
      </c>
      <c r="C18" s="126"/>
      <c r="D18" s="127"/>
      <c r="E18" s="9">
        <f>-E16*'Fane 15. Nøgletal'!C31</f>
        <v>-35689.50343126872</v>
      </c>
      <c r="F18" s="14" t="s">
        <v>3</v>
      </c>
      <c r="G18" s="1"/>
    </row>
    <row r="19" spans="1:7" x14ac:dyDescent="0.25">
      <c r="A19" s="1"/>
      <c r="B19" s="131" t="s">
        <v>131</v>
      </c>
      <c r="C19" s="132"/>
      <c r="D19" s="133"/>
      <c r="E19" s="12">
        <f>SUM(E16:E18)*(1+'Fane 15. Nøgletal'!C15)^3</f>
        <v>1902645.4552570095</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1784475.171563436</v>
      </c>
      <c r="F22" s="14" t="s">
        <v>3</v>
      </c>
      <c r="G22" s="1"/>
    </row>
    <row r="23" spans="1:7" x14ac:dyDescent="0.25">
      <c r="A23" s="1"/>
      <c r="B23" s="125" t="s">
        <v>10</v>
      </c>
      <c r="C23" s="126"/>
      <c r="D23" s="127"/>
      <c r="E23" s="9">
        <f>-E22*'Fane 5. Individuelt eff. krav'!G9</f>
        <v>-35689.50343126872</v>
      </c>
      <c r="F23" s="14" t="s">
        <v>3</v>
      </c>
      <c r="G23" s="1"/>
    </row>
    <row r="24" spans="1:7" x14ac:dyDescent="0.25">
      <c r="A24" s="1"/>
      <c r="B24" s="125" t="s">
        <v>24</v>
      </c>
      <c r="C24" s="126"/>
      <c r="D24" s="127"/>
      <c r="E24" s="9">
        <f>-E22*'Fane 15. Nøgletal'!C31</f>
        <v>-35689.50343126872</v>
      </c>
      <c r="F24" s="14" t="s">
        <v>3</v>
      </c>
      <c r="G24" s="1"/>
    </row>
    <row r="25" spans="1:7" x14ac:dyDescent="0.25">
      <c r="A25" s="1"/>
      <c r="B25" s="131" t="s">
        <v>158</v>
      </c>
      <c r="C25" s="132"/>
      <c r="D25" s="133"/>
      <c r="E25" s="12">
        <f>SUM(E22:E24)*(1+'Fane 15. Nøgletal'!C15)^4</f>
        <v>1970379.633464159</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1784475.171563436</v>
      </c>
      <c r="F28" s="14" t="s">
        <v>3</v>
      </c>
      <c r="G28" s="1"/>
    </row>
    <row r="29" spans="1:7" x14ac:dyDescent="0.25">
      <c r="A29" s="1"/>
      <c r="B29" s="125" t="s">
        <v>10</v>
      </c>
      <c r="C29" s="126"/>
      <c r="D29" s="127"/>
      <c r="E29" s="9">
        <f>-E28*'Fane 5. Individuelt eff. krav'!G9</f>
        <v>-35689.50343126872</v>
      </c>
      <c r="F29" s="14" t="s">
        <v>3</v>
      </c>
      <c r="G29" s="1"/>
    </row>
    <row r="30" spans="1:7" x14ac:dyDescent="0.25">
      <c r="A30" s="1"/>
      <c r="B30" s="125" t="s">
        <v>24</v>
      </c>
      <c r="C30" s="126"/>
      <c r="D30" s="127"/>
      <c r="E30" s="9">
        <f>-E28*'Fane 15. Nøgletal'!C31</f>
        <v>-35689.50343126872</v>
      </c>
      <c r="F30" s="14" t="s">
        <v>3</v>
      </c>
      <c r="G30" s="1"/>
    </row>
    <row r="31" spans="1:7" x14ac:dyDescent="0.25">
      <c r="A31" s="1"/>
      <c r="B31" s="131" t="s">
        <v>215</v>
      </c>
      <c r="C31" s="132"/>
      <c r="D31" s="133"/>
      <c r="E31" s="12">
        <f>SUM(E28:E30)*(1+'Fane 15. Nøgletal'!C15)^5</f>
        <v>2040525.1484154831</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8CBYK7Y/B+46+rgwV/LRG2P3+jqF+sXwGozeNl3plgJZsWNcj6Gr2JgueREOVzAQwv2FYOQaHLdjsfBG3x3KA==" saltValue="MTnn3upghp6IAiNQwRODe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3.5703125" style="2" customWidth="1"/>
    <col min="2" max="2" width="40.42578125" style="2" customWidth="1"/>
    <col min="3" max="3" width="15.5703125" style="2" customWidth="1"/>
    <col min="4" max="4" width="3.28515625" style="2" customWidth="1"/>
    <col min="5" max="5" width="17.140625" style="2" customWidth="1"/>
    <col min="6" max="6" width="3.28515625" style="2" customWidth="1"/>
    <col min="7" max="7" width="4.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GQH/OPBSe5Mo5MAl594HK1ARPRBPaVRXxzYQALTA04S6T7tEZIdgNq/PbzUKxlDa1ytNslk3/Jphey+NTO0fQ==" saltValue="R/2v6AHCgH7bz9d7txV/j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0"/>
      <c r="C16" s="60"/>
      <c r="D16" s="60"/>
      <c r="E16" s="60"/>
      <c r="F16" s="60"/>
      <c r="G16" s="1"/>
    </row>
    <row r="17" spans="1:7" x14ac:dyDescent="0.25">
      <c r="A17" s="1"/>
      <c r="B17" s="61"/>
      <c r="C17" s="64"/>
      <c r="D17" s="63"/>
      <c r="E17" s="64"/>
      <c r="F17" s="63"/>
      <c r="G17" s="1"/>
    </row>
    <row r="18" spans="1:7" x14ac:dyDescent="0.25">
      <c r="A18" s="1"/>
      <c r="B18" s="65"/>
      <c r="C18" s="66"/>
      <c r="D18" s="67"/>
      <c r="E18" s="66"/>
      <c r="F18" s="67"/>
      <c r="G18" s="1"/>
    </row>
    <row r="19" spans="1:7" x14ac:dyDescent="0.25">
      <c r="A19" s="1"/>
      <c r="B19" s="65"/>
      <c r="C19" s="66"/>
      <c r="D19" s="67"/>
      <c r="E19" s="66"/>
      <c r="F19" s="67"/>
      <c r="G19" s="1"/>
    </row>
    <row r="20" spans="1:7" x14ac:dyDescent="0.25">
      <c r="A20" s="1"/>
      <c r="B20" s="58"/>
      <c r="C20" s="58"/>
      <c r="D20" s="58"/>
      <c r="E20" s="58"/>
      <c r="F20" s="58"/>
      <c r="G20" s="1"/>
    </row>
    <row r="21" spans="1:7" x14ac:dyDescent="0.25">
      <c r="A21" s="1"/>
      <c r="B21" s="168"/>
      <c r="C21" s="168"/>
      <c r="D21" s="168"/>
      <c r="E21" s="168"/>
      <c r="F21" s="168"/>
      <c r="G21" s="1"/>
    </row>
    <row r="22" spans="1:7" x14ac:dyDescent="0.25">
      <c r="A22" s="1"/>
      <c r="B22" s="60"/>
      <c r="C22" s="60"/>
      <c r="D22" s="60"/>
      <c r="E22" s="60"/>
      <c r="F22" s="60"/>
      <c r="G22" s="1"/>
    </row>
    <row r="23" spans="1:7" x14ac:dyDescent="0.25">
      <c r="A23" s="1"/>
      <c r="B23" s="61"/>
      <c r="C23" s="64"/>
      <c r="D23" s="63"/>
      <c r="E23" s="64"/>
      <c r="F23" s="63"/>
      <c r="G23" s="1"/>
    </row>
    <row r="24" spans="1:7" x14ac:dyDescent="0.25">
      <c r="A24" s="1"/>
      <c r="B24" s="65"/>
      <c r="C24" s="66"/>
      <c r="D24" s="67"/>
      <c r="E24" s="66"/>
      <c r="F24" s="67"/>
      <c r="G24" s="1"/>
    </row>
    <row r="25" spans="1:7" x14ac:dyDescent="0.25">
      <c r="A25" s="1"/>
      <c r="B25" s="65"/>
      <c r="C25" s="66"/>
      <c r="D25" s="67"/>
      <c r="E25" s="66"/>
      <c r="F25" s="67"/>
      <c r="G25" s="1"/>
    </row>
    <row r="26" spans="1:7" x14ac:dyDescent="0.25">
      <c r="A26" s="1"/>
      <c r="B26" s="58"/>
      <c r="C26" s="58"/>
      <c r="D26" s="58"/>
      <c r="E26" s="58"/>
      <c r="F26" s="58"/>
      <c r="G26" s="1"/>
    </row>
    <row r="27" spans="1:7" x14ac:dyDescent="0.25">
      <c r="A27" s="1"/>
      <c r="B27" s="168"/>
      <c r="C27" s="168"/>
      <c r="D27" s="168"/>
      <c r="E27" s="168"/>
      <c r="F27" s="168"/>
      <c r="G27" s="1"/>
    </row>
    <row r="28" spans="1:7" x14ac:dyDescent="0.25">
      <c r="A28" s="1"/>
      <c r="B28" s="60"/>
      <c r="C28" s="60"/>
      <c r="D28" s="60"/>
      <c r="E28" s="60"/>
      <c r="F28" s="60"/>
      <c r="G28" s="1"/>
    </row>
    <row r="29" spans="1:7" x14ac:dyDescent="0.25">
      <c r="A29" s="1"/>
      <c r="B29" s="61"/>
      <c r="C29" s="64"/>
      <c r="D29" s="63"/>
      <c r="E29" s="64"/>
      <c r="F29" s="63"/>
      <c r="G29" s="1"/>
    </row>
    <row r="30" spans="1:7" x14ac:dyDescent="0.25">
      <c r="A30" s="1"/>
      <c r="B30" s="65"/>
      <c r="C30" s="66"/>
      <c r="D30" s="67"/>
      <c r="E30" s="66"/>
      <c r="F30" s="67"/>
      <c r="G30" s="1"/>
    </row>
    <row r="31" spans="1:7" x14ac:dyDescent="0.25">
      <c r="A31" s="1"/>
      <c r="B31" s="65"/>
      <c r="C31" s="66"/>
      <c r="D31" s="67"/>
      <c r="E31" s="66"/>
      <c r="F31" s="6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i0mBe8jQOuSE8LYiDRZwGAeqn4JyzPFZeRsRTefe0wNlYZEQVcUQQLxiknGe0s8ifoL0uP8wqHG336np+LXAZQ==" saltValue="pgPCQVnIK7z7Viy3lJ+Pf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118" zoomScaleNormal="100" zoomScalePageLayoutView="118"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103907703.86853863</v>
      </c>
      <c r="D9" s="8" t="s">
        <v>3</v>
      </c>
      <c r="E9" s="1"/>
    </row>
    <row r="10" spans="1:5" ht="17.25" customHeight="1" x14ac:dyDescent="0.25">
      <c r="A10" s="1"/>
      <c r="B10" s="81" t="s">
        <v>39</v>
      </c>
      <c r="C10" s="7">
        <f>'Fane 11.1. Varige tillæg'!C15</f>
        <v>348033.0564</v>
      </c>
      <c r="D10" s="8" t="s">
        <v>3</v>
      </c>
      <c r="E10" s="1"/>
    </row>
    <row r="11" spans="1:5" ht="17.25" customHeight="1" x14ac:dyDescent="0.25">
      <c r="A11" s="1"/>
      <c r="B11" s="81" t="s">
        <v>40</v>
      </c>
      <c r="C11" s="9">
        <f>'Fane 11.1. Varige tillæg'!E15</f>
        <v>2902851.0072000003</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4">
        <f>SUM(C9)*'Fane 15. Nøgletal'!C14+SUM(C10:C15)*'Fane 15. Nøgletal'!C15</f>
        <v>458626.89543033752</v>
      </c>
      <c r="D16" s="8" t="s">
        <v>3</v>
      </c>
      <c r="E16" s="1"/>
    </row>
    <row r="17" spans="1:5" ht="17.25" customHeight="1" x14ac:dyDescent="0.25">
      <c r="A17" s="1"/>
      <c r="B17" s="81" t="s">
        <v>10</v>
      </c>
      <c r="C17" s="44">
        <f>-SUM(C9,C10:C16)*'Fane 5. Individuelt eff. krav'!G9</f>
        <v>-2152344.2965513794</v>
      </c>
      <c r="D17" s="8" t="s">
        <v>3</v>
      </c>
      <c r="E17" s="1"/>
    </row>
    <row r="18" spans="1:5" ht="17.25" customHeight="1" x14ac:dyDescent="0.25">
      <c r="A18" s="1"/>
      <c r="B18" s="81" t="s">
        <v>24</v>
      </c>
      <c r="C18" s="44">
        <f>-'Fane 4.1. Gen. krav - drift'!G45</f>
        <v>-674296.71949148446</v>
      </c>
      <c r="D18" s="8" t="s">
        <v>3</v>
      </c>
      <c r="E18" s="1"/>
    </row>
    <row r="19" spans="1:5" ht="17.25" customHeight="1" x14ac:dyDescent="0.25">
      <c r="A19" s="1"/>
      <c r="B19" s="81" t="s">
        <v>25</v>
      </c>
      <c r="C19" s="44">
        <f>-'Fane 4.2. Gen. krav - anlæg'!G43</f>
        <v>-1233065.767147955</v>
      </c>
      <c r="D19" s="8" t="s">
        <v>3</v>
      </c>
      <c r="E19" s="47"/>
    </row>
    <row r="20" spans="1:5" ht="17.25" customHeight="1" x14ac:dyDescent="0.25">
      <c r="A20" s="1"/>
      <c r="B20" s="87" t="s">
        <v>21</v>
      </c>
      <c r="C20" s="10">
        <f>SUM(C9:C19)</f>
        <v>103557508.04437816</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omk.'!C17+'Fane 6. Ikke-påvirkelige omk.'!C21+'Fane 6. Ikke-påvirkelige omk.'!C29</f>
        <v>3486110.1638507205</v>
      </c>
      <c r="D22" s="11" t="s">
        <v>3</v>
      </c>
      <c r="E22" s="1"/>
    </row>
    <row r="23" spans="1:5" ht="15" customHeight="1" x14ac:dyDescent="0.25">
      <c r="A23" s="1"/>
      <c r="B23" s="32" t="s">
        <v>86</v>
      </c>
      <c r="C23" s="27"/>
      <c r="D23" s="19"/>
      <c r="E23" s="1"/>
    </row>
    <row r="24" spans="1:5" ht="15" customHeight="1" x14ac:dyDescent="0.25">
      <c r="A24" s="1"/>
      <c r="B24" s="87" t="s">
        <v>86</v>
      </c>
      <c r="C24" s="10">
        <f>'Fane 12. Periodevise driftsomk.'!E13</f>
        <v>1837239.7211828982</v>
      </c>
      <c r="D24" s="11" t="s">
        <v>3</v>
      </c>
      <c r="E24" s="1"/>
    </row>
    <row r="25" spans="1:5" ht="15" customHeight="1" x14ac:dyDescent="0.25">
      <c r="A25" s="1"/>
      <c r="B25" s="94" t="s">
        <v>85</v>
      </c>
      <c r="C25" s="45"/>
      <c r="D25" s="46"/>
      <c r="E25" s="1"/>
    </row>
    <row r="26" spans="1:5" ht="15" customHeight="1" x14ac:dyDescent="0.25">
      <c r="A26" s="1"/>
      <c r="B26" s="81" t="s">
        <v>231</v>
      </c>
      <c r="C26" s="74">
        <f>'Fane 11.2. Engangstillæg'!C12</f>
        <v>21363.549811200002</v>
      </c>
      <c r="D26" s="8" t="s">
        <v>3</v>
      </c>
      <c r="E26" s="1"/>
    </row>
    <row r="27" spans="1:5" ht="15" customHeight="1" x14ac:dyDescent="0.25">
      <c r="A27" s="1"/>
      <c r="B27" s="81" t="s">
        <v>82</v>
      </c>
      <c r="C27" s="74">
        <f>'Fane 11.2. Engangstillæg'!E12</f>
        <v>0</v>
      </c>
      <c r="D27" s="8" t="s">
        <v>3</v>
      </c>
      <c r="E27" s="1"/>
    </row>
    <row r="28" spans="1:5" ht="15" customHeight="1" x14ac:dyDescent="0.25">
      <c r="A28" s="1"/>
      <c r="B28" s="81" t="s">
        <v>238</v>
      </c>
      <c r="C28" s="74">
        <f>-C26*('Fane 15. Nøgletal'!C31+'Fane 5. Individuelt eff. krav'!G9)</f>
        <v>-854.54199244800009</v>
      </c>
      <c r="D28" s="8" t="s">
        <v>3</v>
      </c>
      <c r="E28" s="1"/>
    </row>
    <row r="29" spans="1:5" ht="15" customHeight="1" x14ac:dyDescent="0.25">
      <c r="A29" s="1"/>
      <c r="B29" s="81" t="s">
        <v>239</v>
      </c>
      <c r="C29" s="74">
        <f>-C27*('Fane 15. Nøgletal'!C26+'Fane 5. Individuelt eff. krav'!G9)</f>
        <v>0</v>
      </c>
      <c r="D29" s="8" t="s">
        <v>3</v>
      </c>
      <c r="E29" s="1"/>
    </row>
    <row r="30" spans="1:5" ht="15" customHeight="1" x14ac:dyDescent="0.25">
      <c r="A30" s="1"/>
      <c r="B30" s="95" t="s">
        <v>87</v>
      </c>
      <c r="C30" s="10">
        <f>SUM(C26:C29)</f>
        <v>20509.007818752001</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10203</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6">
        <f>SUM(C34,C32,C24,C30,C22,C20,C36)</f>
        <v>108911569.93723053</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WElqAI/c9L7xGbViKcme+f4com2Lmab+LyTwBfDX7XsOtJNqHQFM34JQiTGguBkQ4x/x5jJ7jPWLz438GLTRw==" saltValue="NTpiMxBRglMZ6i7a27Do9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3" t="s">
        <v>112</v>
      </c>
      <c r="C9" s="24">
        <v>1.2699999999999999E-2</v>
      </c>
      <c r="D9" s="1"/>
    </row>
    <row r="10" spans="1:4" x14ac:dyDescent="0.25">
      <c r="A10" s="1"/>
      <c r="B10" s="93" t="s">
        <v>113</v>
      </c>
      <c r="C10" s="24">
        <v>1.7500000000000002E-2</v>
      </c>
      <c r="D10" s="1"/>
    </row>
    <row r="11" spans="1:4" x14ac:dyDescent="0.25">
      <c r="A11" s="1"/>
      <c r="B11" s="93"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3" t="s">
        <v>171</v>
      </c>
      <c r="C14" s="42">
        <v>3.3E-3</v>
      </c>
      <c r="D14" s="1"/>
    </row>
    <row r="15" spans="1:4" x14ac:dyDescent="0.25">
      <c r="A15" s="1"/>
      <c r="B15" s="33" t="s">
        <v>223</v>
      </c>
      <c r="C15" s="69">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3" t="s">
        <v>114</v>
      </c>
      <c r="C20" s="22">
        <v>9.1000000000000004E-3</v>
      </c>
      <c r="D20" s="1"/>
    </row>
    <row r="21" spans="1:4" x14ac:dyDescent="0.25">
      <c r="A21" s="1"/>
      <c r="B21" s="93" t="s">
        <v>145</v>
      </c>
      <c r="C21" s="22">
        <v>1.77E-2</v>
      </c>
      <c r="D21" s="1"/>
    </row>
    <row r="22" spans="1:4" x14ac:dyDescent="0.25">
      <c r="A22" s="1"/>
      <c r="B22" s="93" t="s">
        <v>146</v>
      </c>
      <c r="C22" s="22">
        <v>8.6999999999999994E-3</v>
      </c>
      <c r="D22" s="1"/>
    </row>
    <row r="23" spans="1:4" x14ac:dyDescent="0.25">
      <c r="A23" s="1"/>
      <c r="B23" s="93" t="s">
        <v>115</v>
      </c>
      <c r="C23" s="35">
        <v>2.8400000000000002E-2</v>
      </c>
      <c r="D23" s="1"/>
    </row>
    <row r="24" spans="1:4" x14ac:dyDescent="0.25">
      <c r="A24" s="1"/>
      <c r="B24" s="93" t="s">
        <v>147</v>
      </c>
      <c r="C24" s="35">
        <v>2.75E-2</v>
      </c>
      <c r="D24" s="1"/>
    </row>
    <row r="25" spans="1:4" x14ac:dyDescent="0.25">
      <c r="A25" s="1"/>
      <c r="B25" s="93" t="s">
        <v>148</v>
      </c>
      <c r="C25" s="35">
        <v>1.4800000000000001E-2</v>
      </c>
      <c r="D25" s="1"/>
    </row>
    <row r="26" spans="1:4" x14ac:dyDescent="0.25">
      <c r="A26" s="1"/>
      <c r="B26" s="33" t="s">
        <v>216</v>
      </c>
      <c r="C26" s="70">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3"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U3Obr+LVgPENYJOZ517J1YXispAaKKPaf1sJc63SJK2lWkVvXPEFGOLQT2mTgNXI+1Zy2uxY6bUCEtirlzaYzw==" saltValue="cKPto78DtK6eRPr+m8wWm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103557508.04437816</v>
      </c>
      <c r="D9" s="8" t="s">
        <v>3</v>
      </c>
      <c r="E9" s="1"/>
    </row>
    <row r="10" spans="1:5" ht="15" customHeight="1" x14ac:dyDescent="0.25">
      <c r="A10" s="1"/>
      <c r="B10" s="25" t="s">
        <v>19</v>
      </c>
      <c r="C10" s="7">
        <f>SUM(C9:C9)*'Fane 15. Nøgletal'!C15</f>
        <v>3686647.2863798626</v>
      </c>
      <c r="D10" s="8" t="s">
        <v>3</v>
      </c>
      <c r="E10" s="1"/>
    </row>
    <row r="11" spans="1:5" ht="15" customHeight="1" x14ac:dyDescent="0.25">
      <c r="A11" s="1"/>
      <c r="B11" s="25" t="s">
        <v>10</v>
      </c>
      <c r="C11" s="9">
        <f>-SUM(C9:C10)*'Fane 5. Individuelt eff. krav'!G9</f>
        <v>-2144883.1066151606</v>
      </c>
      <c r="D11" s="8" t="s">
        <v>3</v>
      </c>
      <c r="E11" s="1"/>
    </row>
    <row r="12" spans="1:5" ht="15" customHeight="1" x14ac:dyDescent="0.25">
      <c r="A12" s="1"/>
      <c r="B12" s="25" t="s">
        <v>24</v>
      </c>
      <c r="C12" s="9">
        <f>-'Fane 4.1. Gen. krav - drift'!G53</f>
        <v>-684335.64905127382</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104414936.57509159</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Nøgletal'!C15)+'Fane 6. Ikke-påvirkelige omk.'!C22+'Fane 6. Ikke-påvirkelige omk.'!C30</f>
        <v>3609859.6856838064</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driftsomk.'!E19</f>
        <v>1902645.4552570095</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109927441.7160324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acC5KeBpTrrfZcsm/4hiHJWQMbtjsSlGHiTGb9GRyQYsdXM4DQIg8RSink4LamXajjS3gPl1ZsZ8XmfLRFrUVQ==" saltValue="RGx7RhIHsLkjkxtPRFzKm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104414936.57509159</v>
      </c>
      <c r="D9" s="8" t="s">
        <v>3</v>
      </c>
      <c r="E9" s="1"/>
    </row>
    <row r="10" spans="1:5" ht="15" customHeight="1" x14ac:dyDescent="0.25">
      <c r="A10" s="1"/>
      <c r="B10" s="25" t="s">
        <v>19</v>
      </c>
      <c r="C10" s="7">
        <f>SUM(C9:C9)*'Fane 15. Nøgletal'!C15</f>
        <v>3717171.7420732602</v>
      </c>
      <c r="D10" s="8" t="s">
        <v>3</v>
      </c>
      <c r="E10" s="1"/>
    </row>
    <row r="11" spans="1:5" ht="15" customHeight="1" x14ac:dyDescent="0.25">
      <c r="A11" s="1"/>
      <c r="B11" s="25" t="s">
        <v>10</v>
      </c>
      <c r="C11" s="9">
        <f>-SUM(C9:C10)*'Fane 5. Individuelt eff. krav'!G9</f>
        <v>-2162642.1663432969</v>
      </c>
      <c r="D11" s="8" t="s">
        <v>3</v>
      </c>
      <c r="E11" s="1"/>
    </row>
    <row r="12" spans="1:5" ht="15" customHeight="1" x14ac:dyDescent="0.25">
      <c r="A12" s="1"/>
      <c r="B12" s="25" t="s">
        <v>24</v>
      </c>
      <c r="C12" s="9">
        <f>-'Fane 4.1. Gen. krav - drift'!G58</f>
        <v>-694524.03819434915</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105274942.11262719</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Nøgletal'!C15)^2+'Fane 6. Ikke-påvirkelige omk.'!C23+'Fane 6. Ikke-påvirkelige omk.'!C31</f>
        <v>3738014.6904941499</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driftsomk.'!E25</f>
        <v>1970379.633464159</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110983336.4365855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8oE5O3l0dMYlUrJS6tJTXOa4fJ4yWgHShNBvlWNEpFVET7Bmi4s50Q3iXjvl++KYa4lPLWG3HYMR2DefNedbA==" saltValue="8/rG++xJYf7qQwq3StrR9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105274942.11262719</v>
      </c>
      <c r="D9" s="8" t="s">
        <v>3</v>
      </c>
      <c r="E9" s="1"/>
    </row>
    <row r="10" spans="1:5" ht="15" customHeight="1" x14ac:dyDescent="0.25">
      <c r="A10" s="1"/>
      <c r="B10" s="25" t="s">
        <v>19</v>
      </c>
      <c r="C10" s="7">
        <f>SUM(C9:C9)*'Fane 15. Nøgletal'!C15</f>
        <v>3747787.9392095283</v>
      </c>
      <c r="D10" s="8" t="s">
        <v>3</v>
      </c>
      <c r="E10" s="1"/>
    </row>
    <row r="11" spans="1:5" ht="15" customHeight="1" x14ac:dyDescent="0.25">
      <c r="A11" s="1"/>
      <c r="B11" s="25" t="s">
        <v>10</v>
      </c>
      <c r="C11" s="9">
        <f>-SUM(C9:C10)*'Fane 5. Individuelt eff. krav'!G9</f>
        <v>-2180454.6010367344</v>
      </c>
      <c r="D11" s="8" t="s">
        <v>3</v>
      </c>
      <c r="E11" s="1"/>
    </row>
    <row r="12" spans="1:5" ht="15" customHeight="1" x14ac:dyDescent="0.25">
      <c r="A12" s="1"/>
      <c r="B12" s="25" t="s">
        <v>24</v>
      </c>
      <c r="C12" s="9">
        <f>-'Fane 4.1. Gen. krav - drift'!G63</f>
        <v>-704864.11207498657</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106137411.33872502</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Nøgletal'!C15)^3+'Fane 6. Ikke-påvirkelige omk.'!C24+'Fane 6. Ikke-påvirkelige omk.'!C32</f>
        <v>3870732.0134757422</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driftsomk.'!E31</f>
        <v>2040525.1484154831</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112048668.50061624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1MWiQNEv1g4YsS0NFSLqnN00QUOnZ3n/Wy5Y4eWGDgjvWZ+iehohryYrrqnOhEAVKkeMlST4zQPZLCTlXMDfQw==" saltValue="YxqxUlhFyq5FXevFSCn0o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288</v>
      </c>
      <c r="C8" s="27"/>
      <c r="D8" s="27"/>
      <c r="E8" s="27"/>
      <c r="F8" s="19"/>
      <c r="G8" s="1"/>
    </row>
    <row r="9" spans="1:7" ht="15" customHeight="1" x14ac:dyDescent="0.25">
      <c r="A9" s="1"/>
      <c r="B9" s="134" t="s">
        <v>192</v>
      </c>
      <c r="C9" s="135"/>
      <c r="D9" s="136"/>
      <c r="E9" s="7">
        <v>106485517.99244395</v>
      </c>
      <c r="F9" s="8" t="s">
        <v>3</v>
      </c>
      <c r="G9" s="1"/>
    </row>
    <row r="10" spans="1:7" ht="15" customHeight="1" x14ac:dyDescent="0.25">
      <c r="A10" s="1"/>
      <c r="B10" s="125" t="s">
        <v>39</v>
      </c>
      <c r="C10" s="126"/>
      <c r="D10" s="127"/>
      <c r="E10" s="7">
        <v>212893.23690000002</v>
      </c>
      <c r="F10" s="8" t="s">
        <v>3</v>
      </c>
      <c r="G10" s="1"/>
    </row>
    <row r="11" spans="1:7" ht="15" customHeight="1" x14ac:dyDescent="0.25">
      <c r="A11" s="1"/>
      <c r="B11" s="125" t="s">
        <v>40</v>
      </c>
      <c r="C11" s="126"/>
      <c r="D11" s="127"/>
      <c r="E11" s="9">
        <v>939892.44330000016</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355206.40211972501</v>
      </c>
      <c r="F16" s="8" t="s">
        <v>3</v>
      </c>
      <c r="G16" s="1"/>
    </row>
    <row r="17" spans="1:7" ht="15" customHeight="1" x14ac:dyDescent="0.25">
      <c r="A17" s="1"/>
      <c r="B17" s="134" t="s">
        <v>10</v>
      </c>
      <c r="C17" s="135"/>
      <c r="D17" s="136"/>
      <c r="E17" s="9">
        <v>-2159870.2014952735</v>
      </c>
      <c r="F17" s="8" t="s">
        <v>3</v>
      </c>
      <c r="G17" s="1"/>
    </row>
    <row r="18" spans="1:7" ht="15" customHeight="1" x14ac:dyDescent="0.25">
      <c r="A18" s="1"/>
      <c r="B18" s="134" t="s">
        <v>24</v>
      </c>
      <c r="C18" s="135"/>
      <c r="D18" s="136"/>
      <c r="E18" s="9">
        <f>-'Fane 4.1. Gen. krav - drift'!G39</f>
        <v>-678463.3757857515</v>
      </c>
      <c r="F18" s="8" t="s">
        <v>3</v>
      </c>
      <c r="G18" s="1"/>
    </row>
    <row r="19" spans="1:7" ht="15" customHeight="1" x14ac:dyDescent="0.25">
      <c r="A19" s="1"/>
      <c r="B19" s="134" t="s">
        <v>25</v>
      </c>
      <c r="C19" s="135"/>
      <c r="D19" s="136"/>
      <c r="E19" s="9">
        <f>-'Fane 4.2. Gen. krav - anlæg'!G37</f>
        <v>-1247472.6289440088</v>
      </c>
      <c r="F19" s="8" t="s">
        <v>3</v>
      </c>
      <c r="G19" s="1"/>
    </row>
    <row r="20" spans="1:7" ht="15" customHeight="1" x14ac:dyDescent="0.25">
      <c r="A20" s="1"/>
      <c r="B20" s="53" t="s">
        <v>21</v>
      </c>
      <c r="C20" s="99"/>
      <c r="D20" s="101"/>
      <c r="E20" s="50">
        <f>SUM(E9:E19)</f>
        <v>103907703.86853863</v>
      </c>
      <c r="F20" s="52"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2978060.6587055204</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1703636.8850080601</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-415463.55899654841</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4" t="s">
        <v>218</v>
      </c>
      <c r="C35" s="55"/>
      <c r="D35" s="19"/>
      <c r="E35" s="45">
        <f>SUM(E32,E30,E28,E24,E22,E20,E34)</f>
        <v>108173937.85325566</v>
      </c>
      <c r="F35" s="51"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Q6LbTJ61VG/QRQU4jZLY80vX1V7QwVWk1ibIDi+snYw0d0LIBWYrLcGdRsCJi2repYKleb10uIaNZrfTF52i4Q==" saltValue="D8Weo/HH2ntWA8rAiLcIm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3" style="2" customWidth="1"/>
    <col min="2" max="5" width="9.140625" style="2"/>
    <col min="6" max="6" width="23" style="2" customWidth="1"/>
    <col min="7" max="7" width="16.28515625" style="2" customWidth="1"/>
    <col min="8" max="8" width="3.42578125" style="2" customWidth="1"/>
    <col min="9" max="9" width="3.5703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5">
        <v>34611859</v>
      </c>
      <c r="H5" s="14" t="s">
        <v>3</v>
      </c>
      <c r="I5" s="1"/>
    </row>
    <row r="6" spans="1:9" x14ac:dyDescent="0.25">
      <c r="A6" s="1"/>
      <c r="B6" s="134" t="s">
        <v>120</v>
      </c>
      <c r="C6" s="135"/>
      <c r="D6" s="135"/>
      <c r="E6" s="135"/>
      <c r="F6" s="136"/>
      <c r="G6" s="76">
        <v>2075963</v>
      </c>
      <c r="H6" s="14" t="s">
        <v>3</v>
      </c>
      <c r="I6" s="1"/>
    </row>
    <row r="7" spans="1:9" x14ac:dyDescent="0.25">
      <c r="A7" s="1"/>
      <c r="B7" s="141" t="s">
        <v>42</v>
      </c>
      <c r="C7" s="142"/>
      <c r="D7" s="142"/>
      <c r="E7" s="142"/>
      <c r="F7" s="143"/>
      <c r="G7" s="75">
        <f>SUM(G5:G6)*'Fane 15. Nøgletal'!C31</f>
        <v>733756.44000000006</v>
      </c>
      <c r="H7" s="14" t="s">
        <v>3</v>
      </c>
      <c r="I7" s="1"/>
    </row>
    <row r="8" spans="1:9" x14ac:dyDescent="0.25">
      <c r="A8" s="1"/>
      <c r="B8" s="32"/>
      <c r="C8" s="27"/>
      <c r="D8" s="27"/>
      <c r="E8" s="27"/>
      <c r="F8" s="27"/>
      <c r="G8" s="77"/>
      <c r="H8" s="19"/>
      <c r="I8" s="1"/>
    </row>
    <row r="9" spans="1:9" x14ac:dyDescent="0.25">
      <c r="A9" s="1"/>
      <c r="B9" s="1"/>
      <c r="C9" s="1"/>
      <c r="D9" s="1"/>
      <c r="E9" s="1"/>
      <c r="F9" s="1"/>
      <c r="G9" s="78"/>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5">
        <f>(G5-G7)*(1+'Fane 15. Nøgletal'!C10)</f>
        <v>34470969.354800008</v>
      </c>
      <c r="H11" s="14" t="s">
        <v>3</v>
      </c>
      <c r="I11" s="1"/>
    </row>
    <row r="12" spans="1:9" ht="15" customHeight="1" x14ac:dyDescent="0.25">
      <c r="A12" s="1"/>
      <c r="B12" s="141" t="s">
        <v>121</v>
      </c>
      <c r="C12" s="142"/>
      <c r="D12" s="142"/>
      <c r="E12" s="142"/>
      <c r="F12" s="143"/>
      <c r="G12" s="76">
        <v>0.35231399696320298</v>
      </c>
      <c r="H12" s="14" t="s">
        <v>3</v>
      </c>
      <c r="I12" s="1"/>
    </row>
    <row r="13" spans="1:9" x14ac:dyDescent="0.25">
      <c r="A13" s="1"/>
      <c r="B13" s="134" t="s">
        <v>118</v>
      </c>
      <c r="C13" s="135"/>
      <c r="D13" s="135"/>
      <c r="E13" s="135"/>
      <c r="F13" s="136"/>
      <c r="G13" s="76">
        <v>2000301.2150000001</v>
      </c>
      <c r="H13" s="14" t="s">
        <v>3</v>
      </c>
      <c r="I13" s="1"/>
    </row>
    <row r="14" spans="1:9" x14ac:dyDescent="0.25">
      <c r="A14" s="1"/>
      <c r="B14" s="144" t="s">
        <v>44</v>
      </c>
      <c r="C14" s="145"/>
      <c r="D14" s="145"/>
      <c r="E14" s="145"/>
      <c r="F14" s="146"/>
      <c r="G14" s="76">
        <v>0</v>
      </c>
      <c r="H14" s="14" t="s">
        <v>3</v>
      </c>
      <c r="I14" s="1"/>
    </row>
    <row r="15" spans="1:9" x14ac:dyDescent="0.25">
      <c r="A15" s="1"/>
      <c r="B15" s="141" t="s">
        <v>45</v>
      </c>
      <c r="C15" s="142"/>
      <c r="D15" s="142"/>
      <c r="E15" s="142"/>
      <c r="F15" s="143"/>
      <c r="G15" s="75">
        <f>SUM(G11:G14)*'Fane 15. Nøgletal'!C31</f>
        <v>729425.41844228015</v>
      </c>
      <c r="H15" s="14" t="s">
        <v>3</v>
      </c>
      <c r="I15" s="1"/>
    </row>
    <row r="16" spans="1:9" x14ac:dyDescent="0.25">
      <c r="A16" s="1"/>
      <c r="B16" s="32"/>
      <c r="C16" s="27"/>
      <c r="D16" s="27"/>
      <c r="E16" s="27"/>
      <c r="F16" s="27"/>
      <c r="G16" s="77"/>
      <c r="H16" s="19"/>
      <c r="I16" s="1"/>
    </row>
    <row r="17" spans="1:9" x14ac:dyDescent="0.25">
      <c r="A17" s="1"/>
      <c r="B17" s="1"/>
      <c r="C17" s="1"/>
      <c r="D17" s="1"/>
      <c r="E17" s="1"/>
      <c r="F17" s="1"/>
      <c r="G17" s="78"/>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5">
        <f>(SUM(G11:G12,G14)-(G15))*(1+'Fane 15. Nøgletal'!C10)</f>
        <v>34332021.313723482</v>
      </c>
      <c r="H19" s="14" t="s">
        <v>3</v>
      </c>
      <c r="I19" s="1"/>
    </row>
    <row r="20" spans="1:9" x14ac:dyDescent="0.25">
      <c r="A20" s="1"/>
      <c r="B20" s="144" t="s">
        <v>47</v>
      </c>
      <c r="C20" s="145"/>
      <c r="D20" s="145"/>
      <c r="E20" s="145"/>
      <c r="F20" s="146"/>
      <c r="G20" s="76">
        <v>0</v>
      </c>
      <c r="H20" s="14" t="s">
        <v>3</v>
      </c>
      <c r="I20" s="1"/>
    </row>
    <row r="21" spans="1:9" x14ac:dyDescent="0.25">
      <c r="A21" s="1"/>
      <c r="B21" s="141" t="s">
        <v>48</v>
      </c>
      <c r="C21" s="142"/>
      <c r="D21" s="142"/>
      <c r="E21" s="142"/>
      <c r="F21" s="143"/>
      <c r="G21" s="75">
        <f>SUM(G19:G20)*'Fane 15. Nøgletal'!C31</f>
        <v>686640.4262744697</v>
      </c>
      <c r="H21" s="14" t="s">
        <v>3</v>
      </c>
      <c r="I21" s="1"/>
    </row>
    <row r="22" spans="1:9" x14ac:dyDescent="0.25">
      <c r="A22" s="1"/>
      <c r="B22" s="32"/>
      <c r="C22" s="27"/>
      <c r="D22" s="27"/>
      <c r="E22" s="27"/>
      <c r="F22" s="27"/>
      <c r="G22" s="77"/>
      <c r="H22" s="19"/>
      <c r="I22" s="1"/>
    </row>
    <row r="23" spans="1:9" x14ac:dyDescent="0.25">
      <c r="A23" s="1"/>
      <c r="B23" s="1"/>
      <c r="C23" s="1"/>
      <c r="D23" s="1"/>
      <c r="E23" s="1"/>
      <c r="F23" s="1"/>
      <c r="G23" s="78"/>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5">
        <f>(G19+G20-G21)*(1+'Fane 15. Nøgletal'!C12)</f>
        <v>34308194.890931755</v>
      </c>
      <c r="H25" s="14" t="s">
        <v>3</v>
      </c>
      <c r="I25" s="1"/>
    </row>
    <row r="26" spans="1:9" x14ac:dyDescent="0.25">
      <c r="A26" s="1"/>
      <c r="B26" s="144" t="s">
        <v>50</v>
      </c>
      <c r="C26" s="145"/>
      <c r="D26" s="145"/>
      <c r="E26" s="145"/>
      <c r="F26" s="146"/>
      <c r="G26" s="76">
        <v>0</v>
      </c>
      <c r="H26" s="14" t="s">
        <v>3</v>
      </c>
      <c r="I26" s="1"/>
    </row>
    <row r="27" spans="1:9" x14ac:dyDescent="0.25">
      <c r="A27" s="1"/>
      <c r="B27" s="141" t="s">
        <v>51</v>
      </c>
      <c r="C27" s="142"/>
      <c r="D27" s="142"/>
      <c r="E27" s="142"/>
      <c r="F27" s="143"/>
      <c r="G27" s="75">
        <f>(G25+G26)*'Fane 15. Nøgletal'!C31</f>
        <v>686163.8978186351</v>
      </c>
      <c r="H27" s="14" t="s">
        <v>3</v>
      </c>
      <c r="I27" s="1"/>
    </row>
    <row r="28" spans="1:9" x14ac:dyDescent="0.25">
      <c r="A28" s="1"/>
      <c r="B28" s="32"/>
      <c r="C28" s="27"/>
      <c r="D28" s="27"/>
      <c r="E28" s="27"/>
      <c r="F28" s="27"/>
      <c r="G28" s="77"/>
      <c r="H28" s="19"/>
      <c r="I28" s="1"/>
    </row>
    <row r="29" spans="1:9" x14ac:dyDescent="0.25">
      <c r="A29" s="1"/>
      <c r="B29" s="1"/>
      <c r="C29" s="1"/>
      <c r="D29" s="1"/>
      <c r="E29" s="1"/>
      <c r="F29" s="1"/>
      <c r="G29" s="78"/>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5">
        <f>(G25+G26-G27)*(1+'Fane 15. Nøgletal'!C12)</f>
        <v>34284385.00367745</v>
      </c>
      <c r="H31" s="14" t="s">
        <v>3</v>
      </c>
      <c r="I31" s="1"/>
    </row>
    <row r="32" spans="1:9" x14ac:dyDescent="0.25">
      <c r="A32" s="1"/>
      <c r="B32" s="141" t="s">
        <v>137</v>
      </c>
      <c r="C32" s="142"/>
      <c r="D32" s="142"/>
      <c r="E32" s="142"/>
      <c r="F32" s="143"/>
      <c r="G32" s="75">
        <v>0</v>
      </c>
      <c r="H32" s="14" t="s">
        <v>3</v>
      </c>
      <c r="I32" s="1"/>
    </row>
    <row r="33" spans="1:9" x14ac:dyDescent="0.25">
      <c r="A33" s="1"/>
      <c r="B33" s="141" t="s">
        <v>60</v>
      </c>
      <c r="C33" s="142"/>
      <c r="D33" s="142"/>
      <c r="E33" s="142"/>
      <c r="F33" s="143"/>
      <c r="G33" s="75">
        <f>(G31+G32)*'Fane 15. Nøgletal'!C31</f>
        <v>685687.70007354906</v>
      </c>
      <c r="H33" s="14" t="s">
        <v>3</v>
      </c>
      <c r="I33" s="1"/>
    </row>
    <row r="34" spans="1:9" x14ac:dyDescent="0.25">
      <c r="A34" s="1"/>
      <c r="B34" s="32"/>
      <c r="C34" s="27"/>
      <c r="D34" s="27"/>
      <c r="E34" s="27"/>
      <c r="F34" s="27"/>
      <c r="G34" s="77"/>
      <c r="H34" s="19"/>
      <c r="I34" s="1"/>
    </row>
    <row r="35" spans="1:9" x14ac:dyDescent="0.25">
      <c r="A35" s="1"/>
      <c r="B35" s="1"/>
      <c r="C35" s="1"/>
      <c r="D35" s="1"/>
      <c r="E35" s="1"/>
      <c r="F35" s="1"/>
      <c r="G35" s="78"/>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5">
        <f>(G31+G32-G33)*(1+'Fane 15. Nøgletal'!C14)</f>
        <v>33709573.004705802</v>
      </c>
      <c r="H37" s="14" t="s">
        <v>3</v>
      </c>
      <c r="I37" s="1"/>
    </row>
    <row r="38" spans="1:9" x14ac:dyDescent="0.25">
      <c r="A38" s="1"/>
      <c r="B38" s="141" t="s">
        <v>164</v>
      </c>
      <c r="C38" s="142"/>
      <c r="D38" s="142"/>
      <c r="E38" s="142"/>
      <c r="F38" s="143"/>
      <c r="G38" s="75">
        <v>213595.78458177004</v>
      </c>
      <c r="H38" s="14" t="s">
        <v>3</v>
      </c>
      <c r="I38" s="1"/>
    </row>
    <row r="39" spans="1:9" x14ac:dyDescent="0.25">
      <c r="A39" s="1"/>
      <c r="B39" s="141" t="s">
        <v>162</v>
      </c>
      <c r="C39" s="142"/>
      <c r="D39" s="142"/>
      <c r="E39" s="142"/>
      <c r="F39" s="143"/>
      <c r="G39" s="75">
        <f>(G37+G38)*'Fane 15. Nøgletal'!C31</f>
        <v>678463.3757857515</v>
      </c>
      <c r="H39" s="14" t="s">
        <v>3</v>
      </c>
      <c r="I39" s="1"/>
    </row>
    <row r="40" spans="1:9" x14ac:dyDescent="0.25">
      <c r="A40" s="1"/>
      <c r="B40" s="32"/>
      <c r="C40" s="27"/>
      <c r="D40" s="27"/>
      <c r="E40" s="27"/>
      <c r="F40" s="27"/>
      <c r="G40" s="77"/>
      <c r="H40" s="19"/>
      <c r="I40" s="1"/>
    </row>
    <row r="41" spans="1:9" x14ac:dyDescent="0.25">
      <c r="A41" s="1"/>
      <c r="B41" s="1"/>
      <c r="C41" s="1"/>
      <c r="D41" s="1"/>
      <c r="E41" s="1"/>
      <c r="F41" s="1"/>
      <c r="G41" s="78"/>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5">
        <f>(G37+G38-G39)*(1+'Fane 15. Nøgletal'!C14)</f>
        <v>33354412.941366382</v>
      </c>
      <c r="H43" s="14" t="s">
        <v>3</v>
      </c>
      <c r="I43" s="1"/>
    </row>
    <row r="44" spans="1:9" x14ac:dyDescent="0.25">
      <c r="A44" s="1"/>
      <c r="B44" s="147" t="s">
        <v>230</v>
      </c>
      <c r="C44" s="148"/>
      <c r="D44" s="148"/>
      <c r="E44" s="148"/>
      <c r="F44" s="149"/>
      <c r="G44" s="79">
        <f>('Fane 2.1. Økonomisk ramme 2023'!C10+'Fane 2.1. Økonomisk ramme 2023'!C12+'Fane 2.1. Økonomisk ramme 2023'!C14)*(1+'Fane 15. Nøgletal'!C15)</f>
        <v>360423.03320784005</v>
      </c>
      <c r="H44" s="14" t="s">
        <v>3</v>
      </c>
      <c r="I44" s="1"/>
    </row>
    <row r="45" spans="1:9" x14ac:dyDescent="0.25">
      <c r="A45" s="1"/>
      <c r="B45" s="141" t="s">
        <v>163</v>
      </c>
      <c r="C45" s="142"/>
      <c r="D45" s="142"/>
      <c r="E45" s="142"/>
      <c r="F45" s="143"/>
      <c r="G45" s="75">
        <f>SUM(G43:G44)*'Fane 15. Nøgletal'!C31</f>
        <v>674296.71949148446</v>
      </c>
      <c r="H45" s="14" t="s">
        <v>3</v>
      </c>
      <c r="I45" s="1"/>
    </row>
    <row r="46" spans="1:9" x14ac:dyDescent="0.25">
      <c r="A46" s="1"/>
      <c r="B46" s="32"/>
      <c r="C46" s="27"/>
      <c r="D46" s="27"/>
      <c r="E46" s="27"/>
      <c r="F46" s="27"/>
      <c r="G46" s="77"/>
      <c r="H46" s="19"/>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5">
        <f>(G43+G44-G45)*(1+'Fane 15. Nøgletal'!C15)</f>
        <v>34216782.452563688</v>
      </c>
      <c r="H52" s="14" t="s">
        <v>3</v>
      </c>
      <c r="I52" s="1"/>
    </row>
    <row r="53" spans="1:9" x14ac:dyDescent="0.25">
      <c r="A53" s="1"/>
      <c r="B53" s="141" t="s">
        <v>138</v>
      </c>
      <c r="C53" s="142"/>
      <c r="D53" s="142"/>
      <c r="E53" s="142"/>
      <c r="F53" s="143"/>
      <c r="G53" s="75">
        <f>(G52)*'Fane 15. Nøgletal'!C31</f>
        <v>684335.64905127382</v>
      </c>
      <c r="H53" s="14" t="s">
        <v>3</v>
      </c>
      <c r="I53" s="1"/>
    </row>
    <row r="54" spans="1:9" x14ac:dyDescent="0.25">
      <c r="A54" s="1"/>
      <c r="B54" s="32"/>
      <c r="C54" s="27"/>
      <c r="D54" s="27"/>
      <c r="E54" s="27"/>
      <c r="F54" s="27"/>
      <c r="G54" s="77"/>
      <c r="H54" s="19"/>
      <c r="I54" s="1"/>
    </row>
    <row r="55" spans="1:9" x14ac:dyDescent="0.25">
      <c r="A55" s="1"/>
      <c r="B55" s="1"/>
      <c r="C55" s="1"/>
      <c r="D55" s="1"/>
      <c r="E55" s="1"/>
      <c r="F55" s="1"/>
      <c r="G55" s="78"/>
      <c r="H55" s="1"/>
      <c r="I55" s="1"/>
    </row>
    <row r="56" spans="1:9" x14ac:dyDescent="0.25">
      <c r="A56" s="1"/>
      <c r="B56" s="131" t="s">
        <v>150</v>
      </c>
      <c r="C56" s="132"/>
      <c r="D56" s="132"/>
      <c r="E56" s="132"/>
      <c r="F56" s="132"/>
      <c r="G56" s="140"/>
      <c r="H56" s="133"/>
      <c r="I56" s="1"/>
    </row>
    <row r="57" spans="1:9" x14ac:dyDescent="0.25">
      <c r="A57" s="1"/>
      <c r="B57" s="90" t="s">
        <v>151</v>
      </c>
      <c r="C57" s="91"/>
      <c r="D57" s="91"/>
      <c r="E57" s="91"/>
      <c r="F57" s="92"/>
      <c r="G57" s="75">
        <f>(G52-G53)*(1+'Fane 15. Nøgletal'!C15)</f>
        <v>34726201.909717456</v>
      </c>
      <c r="H57" s="14" t="s">
        <v>3</v>
      </c>
      <c r="I57" s="1"/>
    </row>
    <row r="58" spans="1:9" x14ac:dyDescent="0.25">
      <c r="A58" s="1"/>
      <c r="B58" s="90" t="s">
        <v>152</v>
      </c>
      <c r="C58" s="91"/>
      <c r="D58" s="91"/>
      <c r="E58" s="91"/>
      <c r="F58" s="92"/>
      <c r="G58" s="75">
        <f>(G57)*'Fane 15. Nøgletal'!C31</f>
        <v>694524.03819434915</v>
      </c>
      <c r="H58" s="14" t="s">
        <v>3</v>
      </c>
      <c r="I58" s="1"/>
    </row>
    <row r="59" spans="1:9" x14ac:dyDescent="0.25">
      <c r="A59" s="1"/>
      <c r="B59" s="32"/>
      <c r="C59" s="27"/>
      <c r="D59" s="27"/>
      <c r="E59" s="27"/>
      <c r="F59" s="27"/>
      <c r="G59" s="77"/>
      <c r="H59" s="19"/>
      <c r="I59" s="1"/>
    </row>
    <row r="60" spans="1:9" x14ac:dyDescent="0.25">
      <c r="A60" s="1"/>
      <c r="B60" s="1"/>
      <c r="C60" s="1"/>
      <c r="D60" s="1"/>
      <c r="E60" s="1"/>
      <c r="F60" s="1"/>
      <c r="G60" s="78"/>
      <c r="H60" s="1"/>
      <c r="I60" s="1"/>
    </row>
    <row r="61" spans="1:9" x14ac:dyDescent="0.25">
      <c r="A61" s="1"/>
      <c r="B61" s="131" t="s">
        <v>193</v>
      </c>
      <c r="C61" s="132"/>
      <c r="D61" s="132"/>
      <c r="E61" s="132"/>
      <c r="F61" s="132"/>
      <c r="G61" s="140"/>
      <c r="H61" s="133"/>
      <c r="I61" s="1"/>
    </row>
    <row r="62" spans="1:9" x14ac:dyDescent="0.25">
      <c r="A62" s="1"/>
      <c r="B62" s="90" t="s">
        <v>194</v>
      </c>
      <c r="C62" s="91"/>
      <c r="D62" s="91"/>
      <c r="E62" s="91"/>
      <c r="F62" s="92"/>
      <c r="G62" s="75">
        <f>(G57-G58)*(1+'Fane 15. Nøgletal'!C15)</f>
        <v>35243205.603749327</v>
      </c>
      <c r="H62" s="14" t="s">
        <v>3</v>
      </c>
      <c r="I62" s="1"/>
    </row>
    <row r="63" spans="1:9" x14ac:dyDescent="0.25">
      <c r="A63" s="1"/>
      <c r="B63" s="90" t="s">
        <v>195</v>
      </c>
      <c r="C63" s="91"/>
      <c r="D63" s="91"/>
      <c r="E63" s="91"/>
      <c r="F63" s="92"/>
      <c r="G63" s="75">
        <f>(G62)*'Fane 15. Nøgletal'!C31</f>
        <v>704864.11207498657</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xBRlugtLnGvmms8+fTJm//4UnNaRJhYdEqB0F4sMpvrbw4Jf1POF6bosZ6mMkBjzvDZqdPsVi1iyO+MuEvgHUQ==" saltValue="wbDY9jZ1CYJm2yZsNw6GM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5703125" style="2" customWidth="1"/>
    <col min="2" max="5" width="9.140625" style="2"/>
    <col min="6" max="6" width="27.140625" style="2" customWidth="1"/>
    <col min="7" max="7" width="14.140625" style="2" customWidth="1"/>
    <col min="8" max="8" width="3.28515625" style="2" customWidth="1"/>
    <col min="9" max="9" width="2.28515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5">
        <v>85558740.467519253</v>
      </c>
      <c r="H5" s="14" t="s">
        <v>3</v>
      </c>
      <c r="I5" s="1"/>
    </row>
    <row r="6" spans="1:9" x14ac:dyDescent="0.25">
      <c r="A6" s="1"/>
      <c r="B6" s="141" t="s">
        <v>57</v>
      </c>
      <c r="C6" s="142"/>
      <c r="D6" s="142"/>
      <c r="E6" s="142"/>
      <c r="F6" s="143"/>
      <c r="G6" s="75">
        <f>G5*'Fane 15. Nøgletal'!C20</f>
        <v>778584.53825442528</v>
      </c>
      <c r="H6" s="14" t="s">
        <v>3</v>
      </c>
      <c r="I6" s="1"/>
    </row>
    <row r="7" spans="1:9" x14ac:dyDescent="0.25">
      <c r="A7" s="1"/>
      <c r="B7" s="32"/>
      <c r="C7" s="27"/>
      <c r="D7" s="27"/>
      <c r="E7" s="27"/>
      <c r="F7" s="27"/>
      <c r="G7" s="77"/>
      <c r="H7" s="19"/>
      <c r="I7" s="1"/>
    </row>
    <row r="8" spans="1:9" x14ac:dyDescent="0.25">
      <c r="A8" s="1"/>
      <c r="B8" s="1"/>
      <c r="C8" s="1"/>
      <c r="D8" s="1"/>
      <c r="E8" s="1"/>
      <c r="F8" s="1"/>
      <c r="G8" s="78"/>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5">
        <f>(G5-G6)*(1+'Fane 15. Nøgletal'!C10)</f>
        <v>86263808.658026963</v>
      </c>
      <c r="H10" s="14" t="s">
        <v>3</v>
      </c>
      <c r="I10" s="1"/>
    </row>
    <row r="11" spans="1:9" x14ac:dyDescent="0.25">
      <c r="A11" s="1"/>
      <c r="B11" s="141" t="s">
        <v>122</v>
      </c>
      <c r="C11" s="142"/>
      <c r="D11" s="142"/>
      <c r="E11" s="142"/>
      <c r="F11" s="143"/>
      <c r="G11" s="75">
        <v>-1358901.9859643888</v>
      </c>
      <c r="H11" s="14" t="s">
        <v>3</v>
      </c>
      <c r="I11" s="1"/>
    </row>
    <row r="12" spans="1:9" x14ac:dyDescent="0.25">
      <c r="A12" s="1"/>
      <c r="B12" s="144" t="s">
        <v>64</v>
      </c>
      <c r="C12" s="145"/>
      <c r="D12" s="145"/>
      <c r="E12" s="145"/>
      <c r="F12" s="146"/>
      <c r="G12" s="76">
        <v>0</v>
      </c>
      <c r="H12" s="14" t="s">
        <v>3</v>
      </c>
      <c r="I12" s="1"/>
    </row>
    <row r="13" spans="1:9" x14ac:dyDescent="0.25">
      <c r="A13" s="1"/>
      <c r="B13" s="141" t="s">
        <v>65</v>
      </c>
      <c r="C13" s="142"/>
      <c r="D13" s="142"/>
      <c r="E13" s="142"/>
      <c r="F13" s="143"/>
      <c r="G13" s="75">
        <f>SUM(G10:G12)*'Fane 15. Nøgletal'!C21</f>
        <v>1502816.8480955076</v>
      </c>
      <c r="H13" s="14" t="s">
        <v>3</v>
      </c>
      <c r="I13" s="1"/>
    </row>
    <row r="14" spans="1:9" x14ac:dyDescent="0.25">
      <c r="A14" s="1"/>
      <c r="B14" s="32"/>
      <c r="C14" s="27"/>
      <c r="D14" s="27"/>
      <c r="E14" s="27"/>
      <c r="F14" s="27"/>
      <c r="G14" s="77"/>
      <c r="H14" s="19"/>
      <c r="I14" s="1"/>
    </row>
    <row r="15" spans="1:9" x14ac:dyDescent="0.25">
      <c r="A15" s="1"/>
      <c r="B15" s="1"/>
      <c r="C15" s="1"/>
      <c r="D15" s="1"/>
      <c r="E15" s="1"/>
      <c r="F15" s="1"/>
      <c r="G15" s="78"/>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5">
        <f>(SUM(G10:G12)-G13)*(1+'Fane 15. Nøgletal'!C10)</f>
        <v>84861626.395886496</v>
      </c>
      <c r="H17" s="14" t="s">
        <v>3</v>
      </c>
      <c r="I17" s="1"/>
    </row>
    <row r="18" spans="1:9" x14ac:dyDescent="0.25">
      <c r="A18" s="1"/>
      <c r="B18" s="144" t="s">
        <v>68</v>
      </c>
      <c r="C18" s="145"/>
      <c r="D18" s="145"/>
      <c r="E18" s="145"/>
      <c r="F18" s="146"/>
      <c r="G18" s="75">
        <v>693015.22142491979</v>
      </c>
      <c r="H18" s="14" t="s">
        <v>3</v>
      </c>
      <c r="I18" s="1"/>
    </row>
    <row r="19" spans="1:9" x14ac:dyDescent="0.25">
      <c r="A19" s="1"/>
      <c r="B19" s="141" t="s">
        <v>69</v>
      </c>
      <c r="C19" s="142"/>
      <c r="D19" s="142"/>
      <c r="E19" s="142"/>
      <c r="F19" s="143"/>
      <c r="G19" s="75">
        <f>G17*'Fane 15. Nøgletal'!C21+G18*'Fane 15. Nøgletal'!C22</f>
        <v>1508080.0196335879</v>
      </c>
      <c r="H19" s="14" t="s">
        <v>3</v>
      </c>
      <c r="I19" s="1"/>
    </row>
    <row r="20" spans="1:9" x14ac:dyDescent="0.25">
      <c r="A20" s="1"/>
      <c r="B20" s="32"/>
      <c r="C20" s="27"/>
      <c r="D20" s="27"/>
      <c r="E20" s="27"/>
      <c r="F20" s="27"/>
      <c r="G20" s="77"/>
      <c r="H20" s="19"/>
      <c r="I20" s="1"/>
    </row>
    <row r="21" spans="1:9" x14ac:dyDescent="0.25">
      <c r="A21" s="1"/>
      <c r="B21" s="1"/>
      <c r="C21" s="1"/>
      <c r="D21" s="1"/>
      <c r="E21" s="1"/>
      <c r="F21" s="1"/>
      <c r="G21" s="78"/>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5">
        <f>(G17+G18-G19)*(1+'Fane 15. Nøgletal'!C12)</f>
        <v>85702278.861152083</v>
      </c>
      <c r="H23" s="14" t="s">
        <v>3</v>
      </c>
      <c r="I23" s="1"/>
    </row>
    <row r="24" spans="1:9" x14ac:dyDescent="0.25">
      <c r="A24" s="1"/>
      <c r="B24" s="144" t="s">
        <v>72</v>
      </c>
      <c r="C24" s="145"/>
      <c r="D24" s="145"/>
      <c r="E24" s="145"/>
      <c r="F24" s="146"/>
      <c r="G24" s="75">
        <v>443687.14751938835</v>
      </c>
      <c r="H24" s="14" t="s">
        <v>3</v>
      </c>
      <c r="I24" s="1"/>
    </row>
    <row r="25" spans="1:9" x14ac:dyDescent="0.25">
      <c r="A25" s="1"/>
      <c r="B25" s="141" t="s">
        <v>73</v>
      </c>
      <c r="C25" s="142"/>
      <c r="D25" s="142"/>
      <c r="E25" s="142"/>
      <c r="F25" s="143"/>
      <c r="G25" s="75">
        <f>(G23+G24)*'Fane 15. Nøgletal'!C23</f>
        <v>2446545.4346462702</v>
      </c>
      <c r="H25" s="14" t="s">
        <v>3</v>
      </c>
      <c r="I25" s="1"/>
    </row>
    <row r="26" spans="1:9" x14ac:dyDescent="0.25">
      <c r="A26" s="1"/>
      <c r="B26" s="32"/>
      <c r="C26" s="27"/>
      <c r="D26" s="27"/>
      <c r="E26" s="27"/>
      <c r="F26" s="27"/>
      <c r="G26" s="77"/>
      <c r="H26" s="19"/>
      <c r="I26" s="1"/>
    </row>
    <row r="27" spans="1:9" x14ac:dyDescent="0.25">
      <c r="A27" s="1"/>
      <c r="B27" s="1"/>
      <c r="C27" s="1"/>
      <c r="D27" s="1"/>
      <c r="E27" s="1"/>
      <c r="F27" s="1"/>
      <c r="G27" s="78"/>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5">
        <f>(G23+G24-G25)*(1+'Fane 15. Nøgletal'!C12)</f>
        <v>85348299.159333512</v>
      </c>
      <c r="H29" s="14" t="s">
        <v>3</v>
      </c>
      <c r="I29" s="1"/>
    </row>
    <row r="30" spans="1:9" x14ac:dyDescent="0.25">
      <c r="A30" s="1"/>
      <c r="B30" s="141" t="s">
        <v>139</v>
      </c>
      <c r="C30" s="142"/>
      <c r="D30" s="142"/>
      <c r="E30" s="142"/>
      <c r="F30" s="143"/>
      <c r="G30" s="75">
        <v>151314.59363076001</v>
      </c>
      <c r="H30" s="14" t="s">
        <v>3</v>
      </c>
      <c r="I30" s="1"/>
    </row>
    <row r="31" spans="1:9" x14ac:dyDescent="0.25">
      <c r="A31" s="1"/>
      <c r="B31" s="141" t="s">
        <v>76</v>
      </c>
      <c r="C31" s="142"/>
      <c r="D31" s="142"/>
      <c r="E31" s="142"/>
      <c r="F31" s="143"/>
      <c r="G31" s="75">
        <f>G29*'Fane 15. Nøgletal'!C23+G30*'Fane 15. Nøgletal'!C24</f>
        <v>2428052.8474499178</v>
      </c>
      <c r="H31" s="14" t="s">
        <v>3</v>
      </c>
      <c r="I31" s="1"/>
    </row>
    <row r="32" spans="1:9" x14ac:dyDescent="0.25">
      <c r="A32" s="1"/>
      <c r="B32" s="32"/>
      <c r="C32" s="27"/>
      <c r="D32" s="27"/>
      <c r="E32" s="27"/>
      <c r="F32" s="27"/>
      <c r="G32" s="77"/>
      <c r="H32" s="19"/>
      <c r="I32" s="1"/>
    </row>
    <row r="33" spans="1:9" x14ac:dyDescent="0.25">
      <c r="A33" s="1"/>
      <c r="B33" s="1"/>
      <c r="C33" s="1"/>
      <c r="D33" s="1"/>
      <c r="E33" s="1"/>
      <c r="F33" s="1"/>
      <c r="G33" s="78"/>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5">
        <f>(G29+G30-G31)*(1+'Fane 15. Nøgletal'!C14)</f>
        <v>83345697.056502566</v>
      </c>
      <c r="H35" s="14" t="s">
        <v>3</v>
      </c>
      <c r="I35" s="1"/>
    </row>
    <row r="36" spans="1:9" x14ac:dyDescent="0.25">
      <c r="A36" s="1"/>
      <c r="B36" s="141" t="s">
        <v>167</v>
      </c>
      <c r="C36" s="142"/>
      <c r="D36" s="142"/>
      <c r="E36" s="142"/>
      <c r="F36" s="143"/>
      <c r="G36" s="75">
        <v>942994.08836289006</v>
      </c>
      <c r="H36" s="14" t="s">
        <v>3</v>
      </c>
      <c r="I36" s="1"/>
    </row>
    <row r="37" spans="1:9" x14ac:dyDescent="0.25">
      <c r="A37" s="1"/>
      <c r="B37" s="141" t="s">
        <v>166</v>
      </c>
      <c r="C37" s="142"/>
      <c r="D37" s="142"/>
      <c r="E37" s="142"/>
      <c r="F37" s="143"/>
      <c r="G37" s="75">
        <f>(G35+G36)*'Fane 15. Nøgletal'!C25</f>
        <v>1247472.6289440088</v>
      </c>
      <c r="H37" s="14" t="s">
        <v>3</v>
      </c>
      <c r="I37" s="1"/>
    </row>
    <row r="38" spans="1:9" x14ac:dyDescent="0.25">
      <c r="A38" s="1"/>
      <c r="B38" s="32"/>
      <c r="C38" s="27"/>
      <c r="D38" s="27"/>
      <c r="E38" s="27"/>
      <c r="F38" s="27"/>
      <c r="G38" s="77"/>
      <c r="H38" s="19"/>
      <c r="I38" s="1"/>
    </row>
    <row r="39" spans="1:9" x14ac:dyDescent="0.25">
      <c r="A39" s="1"/>
      <c r="B39" s="1"/>
      <c r="C39" s="1"/>
      <c r="D39" s="1"/>
      <c r="E39" s="1"/>
      <c r="F39" s="1"/>
      <c r="G39" s="78"/>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5">
        <f>(G35+G36-G37)*(1+'Fane 15. Nøgletal'!C14)</f>
        <v>83315254.537023991</v>
      </c>
      <c r="H41" s="14" t="s">
        <v>3</v>
      </c>
      <c r="I41" s="1"/>
    </row>
    <row r="42" spans="1:9" x14ac:dyDescent="0.25">
      <c r="A42" s="1"/>
      <c r="B42" s="43" t="s">
        <v>229</v>
      </c>
      <c r="C42" s="91"/>
      <c r="D42" s="91"/>
      <c r="E42" s="91"/>
      <c r="F42" s="92"/>
      <c r="G42" s="79">
        <f>('Fane 2.1. Økonomisk ramme 2023'!C11+'Fane 2.1. Økonomisk ramme 2023'!C13+'Fane 2.1. Økonomisk ramme 2023'!C15)*(1+'Fane 15. Nøgletal'!C15)</f>
        <v>3006192.5030563204</v>
      </c>
      <c r="H42" s="14" t="s">
        <v>3</v>
      </c>
      <c r="I42" s="1"/>
    </row>
    <row r="43" spans="1:9" x14ac:dyDescent="0.25">
      <c r="A43" s="1"/>
      <c r="B43" s="141" t="s">
        <v>168</v>
      </c>
      <c r="C43" s="142"/>
      <c r="D43" s="142"/>
      <c r="E43" s="142"/>
      <c r="F43" s="143"/>
      <c r="G43" s="75">
        <f>(G41)*'Fane 15. Nøgletal'!C25+G42*'Fane 15. Nøgletal'!C26</f>
        <v>1233065.767147955</v>
      </c>
      <c r="H43" s="14" t="s">
        <v>3</v>
      </c>
      <c r="I43" s="1"/>
    </row>
    <row r="44" spans="1:9" x14ac:dyDescent="0.25">
      <c r="A44" s="1"/>
      <c r="B44" s="32"/>
      <c r="C44" s="27"/>
      <c r="D44" s="27"/>
      <c r="E44" s="27"/>
      <c r="F44" s="27"/>
      <c r="G44" s="77"/>
      <c r="H44" s="19"/>
      <c r="I44" s="1"/>
    </row>
    <row r="45" spans="1:9" x14ac:dyDescent="0.25">
      <c r="A45" s="1"/>
      <c r="B45" s="1"/>
      <c r="C45" s="1"/>
      <c r="D45" s="1"/>
      <c r="E45" s="1"/>
      <c r="F45" s="1"/>
      <c r="G45" s="78"/>
      <c r="H45" s="1"/>
      <c r="I45" s="1"/>
    </row>
    <row r="46" spans="1:9" x14ac:dyDescent="0.25">
      <c r="A46" s="1"/>
      <c r="B46" s="1"/>
      <c r="C46" s="1"/>
      <c r="D46" s="1"/>
      <c r="E46" s="1"/>
      <c r="F46" s="1"/>
      <c r="G46" s="78"/>
      <c r="H46" s="1"/>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
      <c r="C51" s="1"/>
      <c r="D51" s="1"/>
      <c r="E51" s="1"/>
      <c r="F51" s="1"/>
      <c r="G51" s="78"/>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5">
        <f>(G41+G42-G43)*(1+'Fane 15. Nøgletal'!C15)</f>
        <v>88117527.646248743</v>
      </c>
      <c r="H53" s="14" t="s">
        <v>3</v>
      </c>
      <c r="I53" s="1"/>
    </row>
    <row r="54" spans="1:9" x14ac:dyDescent="0.25">
      <c r="A54" s="1"/>
      <c r="B54" s="141" t="s">
        <v>141</v>
      </c>
      <c r="C54" s="142"/>
      <c r="D54" s="142"/>
      <c r="E54" s="142"/>
      <c r="F54" s="143"/>
      <c r="G54" s="75">
        <f>(G53)*'Fane 15. Nøgletal'!C26</f>
        <v>0</v>
      </c>
      <c r="H54" s="14" t="s">
        <v>3</v>
      </c>
      <c r="I54" s="1"/>
    </row>
    <row r="55" spans="1:9" x14ac:dyDescent="0.25">
      <c r="A55" s="1"/>
      <c r="B55" s="32"/>
      <c r="C55" s="27"/>
      <c r="D55" s="27"/>
      <c r="E55" s="27"/>
      <c r="F55" s="27"/>
      <c r="G55" s="77"/>
      <c r="H55" s="19"/>
      <c r="I55" s="1"/>
    </row>
    <row r="56" spans="1:9" x14ac:dyDescent="0.25">
      <c r="A56" s="1"/>
      <c r="B56" s="1"/>
      <c r="C56" s="1"/>
      <c r="D56" s="1"/>
      <c r="E56" s="1"/>
      <c r="F56" s="1"/>
      <c r="G56" s="78"/>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5">
        <f>(G53-G54)*(1+'Fane 15. Nøgletal'!C15)</f>
        <v>91254511.630455211</v>
      </c>
      <c r="H58" s="14" t="s">
        <v>3</v>
      </c>
      <c r="I58" s="1"/>
    </row>
    <row r="59" spans="1:9" x14ac:dyDescent="0.25">
      <c r="A59" s="1"/>
      <c r="B59" s="141" t="s">
        <v>174</v>
      </c>
      <c r="C59" s="142"/>
      <c r="D59" s="142"/>
      <c r="E59" s="142"/>
      <c r="F59" s="143"/>
      <c r="G59" s="75">
        <f>(G58)*'Fane 15. Nøgletal'!C26</f>
        <v>0</v>
      </c>
      <c r="H59" s="14" t="s">
        <v>3</v>
      </c>
      <c r="I59" s="1"/>
    </row>
    <row r="60" spans="1:9" x14ac:dyDescent="0.25">
      <c r="A60" s="1"/>
      <c r="B60" s="32"/>
      <c r="C60" s="27"/>
      <c r="D60" s="27"/>
      <c r="E60" s="27"/>
      <c r="F60" s="27"/>
      <c r="G60" s="77"/>
      <c r="H60" s="19"/>
      <c r="I60" s="1"/>
    </row>
    <row r="61" spans="1:9" x14ac:dyDescent="0.25">
      <c r="A61" s="1"/>
      <c r="B61" s="1"/>
      <c r="C61" s="1"/>
      <c r="D61" s="1"/>
      <c r="E61" s="1"/>
      <c r="F61" s="1"/>
      <c r="G61" s="78"/>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5">
        <f>(G58-G59)*(1+'Fane 15. Nøgletal'!C15)</f>
        <v>94503172.24449943</v>
      </c>
      <c r="H63" s="14" t="s">
        <v>3</v>
      </c>
      <c r="I63" s="1"/>
    </row>
    <row r="64" spans="1:9" x14ac:dyDescent="0.25">
      <c r="A64" s="1"/>
      <c r="B64" s="141" t="s">
        <v>198</v>
      </c>
      <c r="C64" s="142"/>
      <c r="D64" s="142"/>
      <c r="E64" s="142"/>
      <c r="F64" s="143"/>
      <c r="G64" s="75">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GM+PJbtGcpQDZvQGQkOhsw5XzT6Fg6tkwEROXhJ1WEdK4NWd2kpll0pN1pDxCsmNAv1H7PMc94/08UcfOhodOw==" saltValue="iNEEM7L0KH8BudAJ9jGH9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3" t="s">
        <v>10</v>
      </c>
      <c r="C8" s="153"/>
      <c r="D8" s="153"/>
      <c r="E8" s="153"/>
      <c r="F8" s="153"/>
      <c r="G8" s="153"/>
      <c r="H8" s="1"/>
    </row>
    <row r="9" spans="1:8" x14ac:dyDescent="0.25">
      <c r="A9" s="1"/>
      <c r="B9" s="141" t="s">
        <v>154</v>
      </c>
      <c r="C9" s="142"/>
      <c r="D9" s="142"/>
      <c r="E9" s="142"/>
      <c r="F9" s="143"/>
      <c r="G9" s="35">
        <v>0.02</v>
      </c>
      <c r="H9" s="1"/>
    </row>
    <row r="10" spans="1:8" x14ac:dyDescent="0.25">
      <c r="A10" s="1"/>
      <c r="B10" s="154"/>
      <c r="C10" s="154"/>
      <c r="D10" s="154"/>
      <c r="E10" s="154"/>
      <c r="F10" s="154"/>
      <c r="G10" s="154"/>
      <c r="H10" s="1"/>
    </row>
    <row r="11" spans="1:8" ht="29.25" customHeight="1" x14ac:dyDescent="0.25">
      <c r="A11" s="1"/>
      <c r="B11" s="152" t="s">
        <v>236</v>
      </c>
      <c r="C11" s="152"/>
      <c r="D11" s="152"/>
      <c r="E11" s="152"/>
      <c r="F11" s="152"/>
      <c r="G11" s="15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6sICDkCmkaX7PA6W7WHgNghc2RQdeEjBpHpMtqxMS1mCMPW9bF5gQu5ThbHrI2wVKvq+Tmq7fZ16NPek+/JrBg==" saltValue="k91y8+F8wD+UyaOv1pcCmA=="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2022-12-01T08:19:42Z</dcterms:modified>
</cp:coreProperties>
</file>