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Samsø Spildevand AS (S082)\ØR2024\"/>
    </mc:Choice>
  </mc:AlternateContent>
  <xr:revisionPtr revIDLastSave="0" documentId="13_ncr:1_{0779A762-5050-4A80-952A-3A3FF2D0DD4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9" r:id="rId8"/>
    <sheet name="Fane 6. Korrektion af ØR2022"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Tabel_Fane_11">'Fane 11. Tilknyttet virksomhed'!$B$8:$F$13</definedName>
    <definedName name="Tabel_Fane_12">'Fane 12. Bortfald'!$B$9:$F$13</definedName>
    <definedName name="Tabel_Fane_2_1">'Fane 2.1. Økonomisk ramme 2024'!$B$8:$F$31</definedName>
    <definedName name="Tabel_Fane_2_2">'Fane 2.2. Økonomisk ramme 2025'!$B$8:$F$21</definedName>
    <definedName name="Tabel_Fane_2_3">'Fane 2.3. Økonomisk ramme 2026'!$B$7:$F$20</definedName>
    <definedName name="Tabel_Fane_2_4">'Fane 2.4. Økonomisk ramme 2027'!$B$7:$F$20</definedName>
    <definedName name="Tabel_Fane_3">'Fane 3. Omkostninger i ØR2023'!$B$8:$F$35</definedName>
    <definedName name="Tabel_Fane_7">'Fane 7. Skattesagen'!$B$8:$H$18</definedName>
    <definedName name="Z_8BCA264E_FE70_4497_B667_7DCB6C5E8A89_.wvu.Cols" localSheetId="1" hidden="1">'Fane 2.1. Økonomisk ramme 2024'!$C:$D</definedName>
    <definedName name="Z_8BCA264E_FE70_4497_B667_7DCB6C5E8A89_.wvu.Cols" localSheetId="2" hidden="1">'Fane 2.2. Økonomisk ramme 2025'!$C:$D</definedName>
    <definedName name="Z_8BCA264E_FE70_4497_B667_7DCB6C5E8A89_.wvu.Cols" localSheetId="3" hidden="1">'Fane 2.3. Økonomisk ramme 2026'!$C:$D</definedName>
    <definedName name="Z_8BCA264E_FE70_4497_B667_7DCB6C5E8A89_.wvu.Cols" localSheetId="4" hidden="1">'Fane 2.4. Økonomisk ramme 2027'!$C:$D</definedName>
  </definedNames>
  <calcPr calcId="191029"/>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E18" i="3" l="1"/>
  <c r="E26" i="2"/>
  <c r="E27" i="19"/>
  <c r="E31" i="19" s="1"/>
  <c r="E33" i="19" s="1"/>
  <c r="E18" i="19"/>
  <c r="E20" i="19" s="1"/>
  <c r="E19" i="19"/>
  <c r="E9" i="2" l="1"/>
  <c r="E19" i="5" l="1"/>
  <c r="E19" i="4"/>
  <c r="E20" i="3"/>
  <c r="E30" i="2"/>
  <c r="G18" i="17" l="1"/>
  <c r="J11" i="10" l="1"/>
  <c r="H11" i="10"/>
  <c r="C19" i="7"/>
  <c r="C20" i="7" s="1"/>
  <c r="E13" i="5" l="1"/>
  <c r="E14" i="3"/>
  <c r="E13" i="4"/>
  <c r="E16" i="13"/>
  <c r="E17" i="13" s="1"/>
  <c r="C13" i="12" l="1"/>
  <c r="E13" i="12"/>
  <c r="E14" i="12" l="1"/>
  <c r="E22" i="2" s="1"/>
  <c r="C14" i="12"/>
  <c r="E21" i="2" s="1"/>
  <c r="E23" i="2" l="1"/>
  <c r="E24" i="2" s="1"/>
  <c r="E21" i="13" l="1"/>
  <c r="E22" i="13" s="1"/>
  <c r="E26" i="13"/>
  <c r="E27" i="13" s="1"/>
  <c r="E15" i="5" l="1"/>
  <c r="E15" i="4"/>
  <c r="F10" i="10"/>
  <c r="F11" i="10" s="1"/>
  <c r="E12" i="9"/>
  <c r="E16" i="9" l="1"/>
  <c r="E17" i="9" s="1"/>
  <c r="E28" i="2" s="1"/>
  <c r="E11" i="13" l="1"/>
  <c r="E12" i="13" l="1"/>
  <c r="E19" i="2" s="1"/>
  <c r="E16" i="3" l="1"/>
  <c r="E12" i="15"/>
  <c r="E13" i="15" s="1"/>
  <c r="C12" i="15"/>
  <c r="C13" i="15" s="1"/>
  <c r="E11" i="2" l="1"/>
  <c r="C10" i="11" l="1"/>
  <c r="E12" i="14"/>
  <c r="E13" i="14" s="1"/>
  <c r="C12" i="14"/>
  <c r="C13" i="14" s="1"/>
  <c r="E12" i="2" l="1"/>
  <c r="C16" i="11"/>
  <c r="C17" i="11" s="1"/>
  <c r="E17" i="2"/>
  <c r="E10" i="11" l="1"/>
  <c r="E16" i="11" s="1"/>
  <c r="E17" i="11" s="1"/>
  <c r="E10" i="2" l="1"/>
  <c r="E13" i="2" s="1"/>
  <c r="E14" i="2" l="1"/>
  <c r="E15" i="2" l="1"/>
  <c r="E31" i="2" s="1"/>
  <c r="E9" i="3" l="1"/>
  <c r="E10" i="3" l="1"/>
  <c r="E11" i="3" s="1"/>
  <c r="E12" i="3" s="1"/>
  <c r="E21" i="3" s="1"/>
  <c r="E8" i="4" l="1"/>
  <c r="E9" i="4" l="1"/>
  <c r="E10" i="4" s="1"/>
  <c r="E11" i="4" s="1"/>
  <c r="E20" i="4" l="1"/>
  <c r="E8" i="5"/>
  <c r="E9" i="5" l="1"/>
  <c r="E10" i="5" s="1"/>
  <c r="E11" i="5" s="1"/>
  <c r="E20" i="5" s="1"/>
</calcChain>
</file>

<file path=xl/sharedStrings.xml><?xml version="1.0" encoding="utf-8"?>
<sst xmlns="http://schemas.openxmlformats.org/spreadsheetml/2006/main" count="459" uniqueCount="191">
  <si>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</si>
  <si>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</si>
  <si>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</si>
  <si>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</si>
  <si>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</si>
  <si>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</si>
  <si>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</si>
  <si>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</si>
  <si>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</si>
  <si>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</si>
  <si>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</si>
  <si>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</si>
  <si>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</si>
  <si>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</si>
  <si>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</si>
  <si>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</si>
  <si>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</si>
  <si>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</si>
  <si>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</si>
  <si>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</si>
  <si>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</si>
  <si>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</si>
  <si>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</si>
  <si>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</si>
  <si>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</si>
  <si>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</si>
  <si>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</si>
  <si>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</si>
  <si>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</si>
  <si>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</si>
  <si>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</si>
  <si>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</si>
  <si>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</si>
  <si>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</si>
  <si>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</si>
  <si>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</si>
  <si>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</si>
  <si>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</si>
  <si>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</si>
  <si>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</si>
  <si>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</si>
  <si>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Fane 10</t>
  </si>
  <si>
    <t>Korrektion af tidligere godkendte omkostninger til medfinansiering af klimatilpasningsprojekter</t>
  </si>
  <si>
    <t>Tillæg til tilbagebetaling af vejbidrag</t>
  </si>
  <si>
    <t>Fane 4: Ikke-påvirkelige omkostninger</t>
  </si>
  <si>
    <t>Samlede tillæg til periodevise driftsomkostninger jf. indmeldte oprensningsplan</t>
  </si>
  <si>
    <t>Difference (Korrektion)</t>
  </si>
  <si>
    <t>Effektiviseringskrav</t>
  </si>
  <si>
    <t>Antal år i næste reguleringsperiode</t>
  </si>
  <si>
    <t>Fane 6</t>
  </si>
  <si>
    <t>Fane 8.1</t>
  </si>
  <si>
    <t>Fane 8.2</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</si>
  <si>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</si>
  <si>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</si>
  <si>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</si>
  <si>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</si>
  <si>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</si>
  <si>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</si>
  <si>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</si>
  <si>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</si>
  <si>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</si>
  <si>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</si>
  <si>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</si>
  <si>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</si>
  <si>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</si>
  <si>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</si>
  <si>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</si>
  <si>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</si>
  <si>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</si>
  <si>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Fane 3</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</si>
  <si>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</si>
  <si>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</si>
  <si>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</si>
  <si>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</si>
  <si>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</si>
  <si>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</si>
  <si>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</si>
  <si>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</si>
  <si>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</si>
  <si>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</si>
  <si>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</si>
  <si>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</si>
  <si>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</si>
  <si>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</si>
  <si>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</si>
  <si>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Kontrol med de økonomiske rammer til indregning</t>
  </si>
  <si>
    <t xml:space="preserve"> </t>
  </si>
  <si>
    <t>Vejledende økonomisk ramme for 2026</t>
  </si>
  <si>
    <t>Korrektion af den økonomiske ramme for 2021</t>
  </si>
  <si>
    <t>Videreførte omkostninger fra den økonomiske ramme for 2023</t>
  </si>
  <si>
    <t>Videreførte omkostninger fra den økonomiske ramme for 2025</t>
  </si>
  <si>
    <t>Økonomisk ramme for 2026</t>
  </si>
  <si>
    <t>Tillæg til den økonomiske ramme for 2026</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</si>
  <si>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</si>
  <si>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</si>
  <si>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</si>
  <si>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</si>
  <si>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</si>
  <si>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</si>
  <si>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</si>
  <si>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</si>
  <si>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Effektiviseringskrav på engangstillæg</t>
  </si>
  <si>
    <t>Anlægsprojekter (§ 19)</t>
  </si>
  <si>
    <t>Anlægsprojekter igangsat senest 1. marts 2016</t>
  </si>
  <si>
    <t>Drifts-omkostninger</t>
  </si>
  <si>
    <t>Anskaffelses-pris</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</si>
  <si>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</si>
  <si>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</si>
  <si>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</si>
  <si>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</si>
  <si>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</si>
  <si>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</si>
  <si>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</si>
  <si>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</si>
  <si>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</si>
  <si>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</si>
  <si>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</si>
  <si>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</si>
  <si>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</si>
  <si>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</si>
  <si>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</si>
  <si>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</si>
  <si>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</si>
  <si>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</si>
  <si>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</si>
  <si>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Samlet økonomisk ramme for 2024</t>
  </si>
  <si>
    <t>Vejledende økonomisk ramme for 2027</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</si>
  <si>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</si>
  <si>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</si>
  <si>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</si>
  <si>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</si>
  <si>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</si>
  <si>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</si>
  <si>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</si>
  <si>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Økonomisk ramme for 2027</t>
  </si>
  <si>
    <t>Videreførte omkostninger fra den økonomiske ramme for 2026</t>
  </si>
  <si>
    <t>Oversigt over den økonomiske ramme for 2023</t>
  </si>
  <si>
    <t>Fane 3: Videreførte omkostninger fra den økonomiske ramme for 2023</t>
  </si>
  <si>
    <t>Faktiske ikke-påvirkelige omkostninger i 2022</t>
  </si>
  <si>
    <t>Ikke-påvirkelige omkostninger i 2022-prisniveau</t>
  </si>
  <si>
    <t>Ikke-påvirkelige omkostninger i 2024-prisniveau</t>
  </si>
  <si>
    <t>Tillæg til den økonomiske ramme for 2027</t>
  </si>
  <si>
    <t>Omkostninger i 2022</t>
  </si>
  <si>
    <t>Fane 5: Kontrol med overholdelse af den økonomiske ramme for 2022</t>
  </si>
  <si>
    <t>Over/underdækning i 2021</t>
  </si>
  <si>
    <t>Fane 6: Korrektioner af den økonomiske ramme for 2022</t>
  </si>
  <si>
    <t>Korrektion af periodevise driftsomkostninger i de økonomiske rammer for 2022</t>
  </si>
  <si>
    <t>Faktisk periodevis driftsomkostning i 2022</t>
  </si>
  <si>
    <t>Faktisk omkostning til medfinansiering af klimatilpasningsprojekter i 2022</t>
  </si>
  <si>
    <t>Korrektioner af den økonomiske ramme for 2022 i alt</t>
  </si>
  <si>
    <t>Tidligere godkendt tillæg indregnet i den økonomiske ramme for 2022</t>
  </si>
  <si>
    <t>Prisudvikling til brug for nye omkostninger i ØR2024</t>
  </si>
  <si>
    <t>Periodevise driftsomkostninger til de økonomiske rammer for 2027</t>
  </si>
  <si>
    <t>Periodevise driftsomkostninger i alt i 2022-prisniveau</t>
  </si>
  <si>
    <t>Periodevise driftsomkostninger i alt i 2027-prisniveau</t>
  </si>
  <si>
    <t>Til økonomiske rammer for 2024-2025</t>
  </si>
  <si>
    <t>Nye tillæg i alt i 2023-prisniveau</t>
  </si>
  <si>
    <t>Engangstillæg til den økonomiske ramme for 2024</t>
  </si>
  <si>
    <t>Engangstillæg i alt i 2022-prisniveau</t>
  </si>
  <si>
    <t>Engangstillæg i alt i 2024-privniveau</t>
  </si>
  <si>
    <t>Tilknyttet virksomhed under hovedvirksomheden i alt (2023-prisniveau)</t>
  </si>
  <si>
    <t>Bortfald eller nedsættelse fra og med den økonomiske ramme for 2024</t>
  </si>
  <si>
    <t>Bortfald eller nedsættelse i alt i 2023-prisniveau</t>
  </si>
  <si>
    <t>Samlet økonomisk ramme for 2025</t>
  </si>
  <si>
    <t>Ingen anlægsprojekter</t>
  </si>
  <si>
    <t xml:space="preserve">Økonomisk ramme for </t>
  </si>
  <si>
    <t>Fane 7: Indtægter til tilbagebetaling som følge af skattesagen</t>
  </si>
  <si>
    <t xml:space="preserve">Note: Denne opgørelse er taget fra jeres økonomiske ramme for 2023. I kan derfor ikke komme med høringssvar til denne opgørelse. </t>
  </si>
  <si>
    <t>Ingen tilknyttet virksomhed under hovedvirksomheden</t>
  </si>
  <si>
    <t>Ingen bortfald eller nedsættelse</t>
  </si>
  <si>
    <t>Spildevandsafgift</t>
  </si>
  <si>
    <t>Afgift til Forsyningssekretariatet</t>
  </si>
  <si>
    <t>Ejendomsskatter</t>
  </si>
  <si>
    <t>Pillemark etape 2</t>
  </si>
  <si>
    <t>Udvidelse af forsyningsområdet på Samsø 2022</t>
  </si>
  <si>
    <t>Krav om flere udledningstilladelser</t>
  </si>
  <si>
    <t>Ingen engangstillæg</t>
  </si>
  <si>
    <t>Over/underdækning i 2017</t>
  </si>
  <si>
    <t>Over/underdækning i 2018</t>
  </si>
  <si>
    <t>Over/underdækning i 2019</t>
  </si>
  <si>
    <t>Over/underdækning i 2020</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</si>
  <si>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</si>
  <si>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2020</t>
  </si>
  <si>
    <t>Evt. overdækning i 2020</t>
  </si>
  <si>
    <t>Evt. underdækning i 2017-2019</t>
  </si>
  <si>
    <t>Fradrag i de økonomiske rammer for 2024-2025 vedr. en evt. overdækning i 2020</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</si>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</sst>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3" fontId="8" fillId="0" borderId="1" xfId="0"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0" fontId="8" fillId="7" borderId="1" xfId="0" quotePrefix="1" applyFont="1" applyFill="1" applyBorder="1" applyAlignment="1" applyProtection="1">
      <alignment wrapText="1"/>
    </xf>
    <xf numFmtId="0" fontId="8" fillId="7" borderId="1" xfId="0" applyFont="1" applyFill="1" applyBorder="1" applyAlignment="1" applyProtection="1">
      <alignment wrapText="1"/>
    </xf>
    <xf numFmtId="49" fontId="8" fillId="7" borderId="1" xfId="0" applyNumberFormat="1"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wrapText="1"/>
    </xf>
    <xf numFmtId="0" fontId="8" fillId="7"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86</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86" t="s">
        <v>4</v>
      </c>
      <c r="E6" s="86"/>
      <c r="F6" s="86"/>
      <c r="G6" s="86"/>
      <c r="H6" s="3"/>
      <c r="I6" s="1"/>
    </row>
    <row r="7" spans="1:9" ht="15.75" customHeight="1" x14ac:dyDescent="0.25">
      <c r="A7" s="1"/>
      <c r="B7" s="1"/>
      <c r="C7" s="3"/>
      <c r="D7" s="86"/>
      <c r="E7" s="86"/>
      <c r="F7" s="86"/>
      <c r="G7" s="86"/>
      <c r="H7" s="3"/>
      <c r="I7" s="1"/>
    </row>
    <row r="8" spans="1:9" ht="15.75" customHeight="1" x14ac:dyDescent="0.25">
      <c r="A8" s="1"/>
      <c r="B8" s="1"/>
      <c r="C8" s="4"/>
      <c r="D8" s="88" t="s">
        <v>155</v>
      </c>
      <c r="E8" s="88"/>
      <c r="F8" s="88"/>
      <c r="G8" s="88"/>
      <c r="H8" s="3"/>
      <c r="I8" s="1"/>
    </row>
    <row r="9" spans="1:9" ht="15.75" customHeight="1" x14ac:dyDescent="0.25">
      <c r="A9" s="1"/>
      <c r="B9" s="5"/>
      <c r="C9" s="5"/>
      <c r="D9" s="5"/>
      <c r="E9" s="5"/>
      <c r="F9" s="5"/>
      <c r="G9" s="5"/>
      <c r="H9" s="3"/>
      <c r="I9" s="1"/>
    </row>
    <row r="10" spans="1:9" ht="15.75" customHeight="1" x14ac:dyDescent="0.25">
      <c r="A10" s="1"/>
      <c r="B10" s="5"/>
      <c r="C10" s="5"/>
      <c r="D10" s="87" t="s">
        <v>5</v>
      </c>
      <c r="E10" s="87"/>
      <c r="F10" s="87"/>
      <c r="G10" s="87"/>
      <c r="H10" s="3"/>
      <c r="I10" s="1"/>
    </row>
    <row r="11" spans="1:9" ht="15.75" customHeight="1" x14ac:dyDescent="0.25">
      <c r="A11" s="1"/>
      <c r="B11" s="1"/>
      <c r="C11" s="1"/>
      <c r="D11" s="1"/>
      <c r="E11" s="1"/>
      <c r="F11" s="1"/>
      <c r="G11" s="1"/>
      <c r="H11" s="3"/>
      <c r="I11" s="1"/>
    </row>
    <row r="12" spans="1:9" ht="15.75" customHeight="1" x14ac:dyDescent="0.25">
      <c r="A12" s="1"/>
      <c r="B12" s="1"/>
      <c r="C12" s="6" t="s">
        <v>6</v>
      </c>
      <c r="D12" s="89" t="s">
        <v>125</v>
      </c>
      <c r="E12" s="90"/>
      <c r="F12" s="90"/>
      <c r="G12" s="91"/>
      <c r="H12" s="3"/>
      <c r="I12" s="1"/>
    </row>
    <row r="13" spans="1:9" ht="15.75" customHeight="1" x14ac:dyDescent="0.25">
      <c r="A13" s="1"/>
      <c r="B13" s="1"/>
      <c r="C13" s="6" t="s">
        <v>15</v>
      </c>
      <c r="D13" s="83" t="s">
        <v>163</v>
      </c>
      <c r="E13" s="84"/>
      <c r="F13" s="84"/>
      <c r="G13" s="85"/>
      <c r="H13" s="3"/>
      <c r="I13" s="1"/>
    </row>
    <row r="14" spans="1:9" ht="15.75" customHeight="1" x14ac:dyDescent="0.25">
      <c r="A14" s="1"/>
      <c r="B14" s="1"/>
      <c r="C14" s="6" t="s">
        <v>28</v>
      </c>
      <c r="D14" s="83" t="s">
        <v>87</v>
      </c>
      <c r="E14" s="84"/>
      <c r="F14" s="84"/>
      <c r="G14" s="85"/>
      <c r="H14" s="3"/>
      <c r="I14" s="1"/>
    </row>
    <row r="15" spans="1:9" ht="15.75" customHeight="1" x14ac:dyDescent="0.25">
      <c r="A15" s="1"/>
      <c r="B15" s="1"/>
      <c r="C15" s="6" t="s">
        <v>29</v>
      </c>
      <c r="D15" s="83" t="s">
        <v>126</v>
      </c>
      <c r="E15" s="84"/>
      <c r="F15" s="84"/>
      <c r="G15" s="85"/>
      <c r="H15" s="3"/>
      <c r="I15" s="1"/>
    </row>
    <row r="16" spans="1:9" ht="15.75" customHeight="1" x14ac:dyDescent="0.25">
      <c r="A16" s="1"/>
      <c r="B16" s="1"/>
      <c r="C16" s="6" t="s">
        <v>69</v>
      </c>
      <c r="D16" s="83" t="s">
        <v>127</v>
      </c>
      <c r="E16" s="84"/>
      <c r="F16" s="84"/>
      <c r="G16" s="85"/>
      <c r="H16" s="3"/>
      <c r="I16" s="1"/>
    </row>
    <row r="17" spans="1:9" ht="15.75" customHeight="1" x14ac:dyDescent="0.25">
      <c r="A17" s="1"/>
      <c r="B17" s="1"/>
      <c r="C17" s="6" t="s">
        <v>7</v>
      </c>
      <c r="D17" s="80" t="s">
        <v>11</v>
      </c>
      <c r="E17" s="81"/>
      <c r="F17" s="81"/>
      <c r="G17" s="82"/>
      <c r="H17" s="3"/>
      <c r="I17" s="1"/>
    </row>
    <row r="18" spans="1:9" ht="15.75" customHeight="1" x14ac:dyDescent="0.25">
      <c r="A18" s="1"/>
      <c r="B18" s="1"/>
      <c r="C18" s="6" t="s">
        <v>8</v>
      </c>
      <c r="D18" s="74" t="s">
        <v>128</v>
      </c>
      <c r="E18" s="75"/>
      <c r="F18" s="75"/>
      <c r="G18" s="76"/>
      <c r="H18" s="3"/>
      <c r="I18" s="1"/>
    </row>
    <row r="19" spans="1:9" ht="15.75" customHeight="1" x14ac:dyDescent="0.25">
      <c r="A19" s="1"/>
      <c r="B19" s="1"/>
      <c r="C19" s="6" t="s">
        <v>49</v>
      </c>
      <c r="D19" s="74" t="s">
        <v>129</v>
      </c>
      <c r="E19" s="75"/>
      <c r="F19" s="75"/>
      <c r="G19" s="76"/>
      <c r="H19" s="3"/>
      <c r="I19" s="1"/>
    </row>
    <row r="20" spans="1:9" ht="15.75" customHeight="1" x14ac:dyDescent="0.25">
      <c r="A20" s="1"/>
      <c r="B20" s="1"/>
      <c r="C20" s="6" t="s">
        <v>35</v>
      </c>
      <c r="D20" s="74" t="s">
        <v>124</v>
      </c>
      <c r="E20" s="75"/>
      <c r="F20" s="75"/>
      <c r="G20" s="76"/>
      <c r="H20" s="3"/>
      <c r="I20" s="1"/>
    </row>
    <row r="21" spans="1:9" ht="15.75" customHeight="1" x14ac:dyDescent="0.25">
      <c r="A21" s="1"/>
      <c r="B21" s="1"/>
      <c r="C21" s="6" t="s">
        <v>35</v>
      </c>
      <c r="D21" s="74" t="s">
        <v>102</v>
      </c>
      <c r="E21" s="75"/>
      <c r="F21" s="75"/>
      <c r="G21" s="76"/>
      <c r="H21" s="1"/>
      <c r="I21" s="1"/>
    </row>
    <row r="22" spans="1:9" ht="15.75" customHeight="1" x14ac:dyDescent="0.25">
      <c r="A22" s="1"/>
      <c r="B22" s="1"/>
      <c r="C22" s="6" t="s">
        <v>50</v>
      </c>
      <c r="D22" s="74" t="s">
        <v>36</v>
      </c>
      <c r="E22" s="75"/>
      <c r="F22" s="75"/>
      <c r="G22" s="76"/>
      <c r="H22" s="1"/>
      <c r="I22" s="1"/>
    </row>
    <row r="23" spans="1:9" ht="15.75" customHeight="1" x14ac:dyDescent="0.25">
      <c r="A23" s="1"/>
      <c r="B23" s="1"/>
      <c r="C23" s="6" t="s">
        <v>51</v>
      </c>
      <c r="D23" s="74" t="s">
        <v>37</v>
      </c>
      <c r="E23" s="75"/>
      <c r="F23" s="75"/>
      <c r="G23" s="76"/>
      <c r="H23" s="1"/>
      <c r="I23" s="1"/>
    </row>
    <row r="24" spans="1:9" ht="15.75" customHeight="1" x14ac:dyDescent="0.25">
      <c r="A24" s="1"/>
      <c r="B24" s="1"/>
      <c r="C24" s="6" t="s">
        <v>9</v>
      </c>
      <c r="D24" s="74" t="s">
        <v>38</v>
      </c>
      <c r="E24" s="75"/>
      <c r="F24" s="75"/>
      <c r="G24" s="76"/>
      <c r="H24" s="1"/>
      <c r="I24" s="1"/>
    </row>
    <row r="25" spans="1:9" ht="15.75" customHeight="1" x14ac:dyDescent="0.25">
      <c r="A25" s="1"/>
      <c r="B25" s="1"/>
      <c r="C25" s="6" t="s">
        <v>41</v>
      </c>
      <c r="D25" s="74" t="s">
        <v>58</v>
      </c>
      <c r="E25" s="75"/>
      <c r="F25" s="75"/>
      <c r="G25" s="76"/>
      <c r="H25" s="1"/>
      <c r="I25" s="1"/>
    </row>
    <row r="26" spans="1:9" ht="15.75" customHeight="1" x14ac:dyDescent="0.25">
      <c r="A26" s="1"/>
      <c r="B26" s="1"/>
      <c r="C26" s="6" t="s">
        <v>52</v>
      </c>
      <c r="D26" s="74" t="s">
        <v>30</v>
      </c>
      <c r="E26" s="75"/>
      <c r="F26" s="75"/>
      <c r="G26" s="76"/>
      <c r="H26" s="1"/>
      <c r="I26" s="1"/>
    </row>
    <row r="27" spans="1:9" ht="15.75" customHeight="1" x14ac:dyDescent="0.25">
      <c r="A27" s="1"/>
      <c r="B27" s="1"/>
      <c r="C27" s="6" t="s">
        <v>14</v>
      </c>
      <c r="D27" s="77" t="s">
        <v>53</v>
      </c>
      <c r="E27" s="78"/>
      <c r="F27" s="78"/>
      <c r="G27" s="79"/>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row r="47" spans="1:9" ht="15.75" customHeight="1" x14ac:dyDescent="0.25">
      <c r="A47" s="1"/>
      <c r="B47" s="1"/>
      <c r="C47" s="1"/>
      <c r="D47" s="1"/>
      <c r="E47" s="1"/>
      <c r="F47" s="1"/>
      <c r="G47" s="1"/>
      <c r="H47" s="1"/>
      <c r="I47" s="1"/>
    </row>
    <row r="48" spans="1:9" ht="15.75" customHeight="1" x14ac:dyDescent="0.25">
      <c r="A48" s="1"/>
      <c r="B48" s="1"/>
      <c r="C48" s="1"/>
      <c r="D48" s="1"/>
      <c r="E48" s="1"/>
      <c r="F48" s="1"/>
      <c r="G48" s="1"/>
      <c r="H48" s="1"/>
      <c r="I48" s="1"/>
    </row>
    <row r="49" spans="1:9" ht="15.75" customHeight="1" x14ac:dyDescent="0.25">
      <c r="A49" s="44"/>
      <c r="B49" s="44"/>
      <c r="C49" s="44"/>
      <c r="D49" s="44"/>
      <c r="E49" s="44"/>
      <c r="F49" s="44"/>
      <c r="G49" s="44"/>
      <c r="H49" s="44"/>
      <c r="I49" s="44"/>
    </row>
    <row r="50" spans="1:9" x14ac:dyDescent="0.25">
      <c r="A50" s="44"/>
      <c r="B50" s="44"/>
      <c r="C50" s="44"/>
      <c r="D50" s="44"/>
      <c r="E50" s="44"/>
      <c r="F50" s="44"/>
      <c r="G50" s="44"/>
      <c r="H50" s="44"/>
      <c r="I50" s="44"/>
    </row>
  </sheetData>
  <sheetProtection algorithmName="SHA-512" hashValue="LulxoxriPIjZwEXpaLaQY7o9tb7tZ30wMrQT0L5rTZ+6xWX9O+dfbImU+KXvbbGnT5FJwD3OWGpDlCnXkIqVqw==" saltValue="6h9WTV1VRuaz5m8kTtB+8w=="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13:G13"/>
    <mergeCell ref="D6:G7"/>
    <mergeCell ref="D18:G18"/>
    <mergeCell ref="D10:G10"/>
    <mergeCell ref="D8:G8"/>
    <mergeCell ref="D14:G14"/>
    <mergeCell ref="D15:G15"/>
    <mergeCell ref="D12:G12"/>
    <mergeCell ref="D16:G16"/>
    <mergeCell ref="D26:G26"/>
    <mergeCell ref="D27:G27"/>
    <mergeCell ref="D17:G17"/>
    <mergeCell ref="D21:G21"/>
    <mergeCell ref="D22:G22"/>
    <mergeCell ref="D25:G25"/>
    <mergeCell ref="D23:G23"/>
    <mergeCell ref="D24:G24"/>
    <mergeCell ref="D19:G19"/>
    <mergeCell ref="D20:G20"/>
  </mergeCells>
  <hyperlinks>
    <hyperlink ref="D22:G22" location="'Fane 9.1. Varige tillæg'!A1" display="Varige tillæg" xr:uid="{00000000-0004-0000-0000-000000000000}"/>
    <hyperlink ref="D25:G25" location="'Fane 11. Tilknyttet virksomhed'!A1" display="Tilknyttet virksomhed" xr:uid="{00000000-0004-0000-0000-000001000000}"/>
    <hyperlink ref="D26:G26" location="'Fane 12. Bortfald'!A1" display="Bortfald" xr:uid="{00000000-0004-0000-0000-000002000000}"/>
    <hyperlink ref="D12:G12" location="'Fane 2.1. Økonomisk ramme 2024'!A1" display="Samlet økonomisk ramme for 2024" xr:uid="{00000000-0004-0000-0000-000003000000}"/>
    <hyperlink ref="D15:G15" location="'Fane 2.4. Økonomisk ramme 2027'!A1" display="Vejledende økonomisk ramme for 2027" xr:uid="{00000000-0004-0000-0000-000004000000}"/>
    <hyperlink ref="D14:G14" location="'Fane 2.3. Økonomisk ramme 2026'!A1" display="Vejledende økonomisk ramme for 2026" xr:uid="{00000000-0004-0000-0000-000005000000}"/>
    <hyperlink ref="D17:G17" location="'Fane 4. Ikke-påvirkelige omk.'!A1" display="Ikke-påvirkelige omkostninger" xr:uid="{00000000-0004-0000-0000-000006000000}"/>
    <hyperlink ref="D18:G18" location="'Fane 5. Kontrol af ØR2022'!A1" display="Kontrol af den økonomiske ramme for 2022" xr:uid="{00000000-0004-0000-0000-000007000000}"/>
    <hyperlink ref="D21:G21" location="'Fane 8. Anlægsprojekter (§ 19)'!A1" display="Anlægsprojekter (§ 19)" xr:uid="{00000000-0004-0000-0000-000008000000}"/>
    <hyperlink ref="D27:G27" location="'Fane 13. Nøgletal'!A1" display="Nøgletal" xr:uid="{00000000-0004-0000-0000-000009000000}"/>
    <hyperlink ref="D16:G16" location="'Fane 3. Omkostninger i ØR2023'!A1" display="Omkostninger i ØR2023" xr:uid="{00000000-0004-0000-0000-00000A000000}"/>
    <hyperlink ref="D23:G23" location="'Fane 9.2. Engangstillæg'!A1" display="Engangstillæg" xr:uid="{00000000-0004-0000-0000-00000B000000}"/>
    <hyperlink ref="D24:G24" location="'Fane 10. Periodevise driftsomk.'!A1" display="Periodevise driftsomkostninger" xr:uid="{00000000-0004-0000-0000-00000C000000}"/>
    <hyperlink ref="D19:G19" location="'Fane 6. Korrektion af ØR2022'!A1" display="Korrektion af den økonomiske ramme for 2022" xr:uid="{00000000-0004-0000-0000-00000D000000}"/>
    <hyperlink ref="D13:G13" location="'Fane 2.2. Økonomisk ramme 2025'!A1" display="Vejledende økonomisk ramme for 2025" xr:uid="{00000000-0004-0000-0000-00000E000000}"/>
    <hyperlink ref="D20:G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I50"/>
  <sheetViews>
    <sheetView view="pageLayout" zoomScaleNormal="100" workbookViewId="0"/>
  </sheetViews>
  <sheetFormatPr defaultColWidth="9.140625" defaultRowHeight="15" x14ac:dyDescent="0.25"/>
  <cols>
    <col min="1" max="1" width="4.7109375" style="43" customWidth="1"/>
    <col min="2" max="2" width="22.5703125" style="43" customWidth="1"/>
    <col min="3" max="3" width="8.28515625" style="43" customWidth="1"/>
    <col min="4" max="6" width="10.7109375" style="43" customWidth="1"/>
    <col min="7" max="7" width="11.140625" style="43" customWidth="1"/>
    <col min="8" max="8" width="3.28515625" style="43" customWidth="1"/>
    <col min="9" max="9" width="4.85546875" style="43" customWidth="1"/>
    <col min="10" max="16384" width="9.140625" style="43"/>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2" t="s">
        <v>166</v>
      </c>
      <c r="C3" s="92"/>
      <c r="D3" s="92"/>
      <c r="E3" s="92"/>
      <c r="F3" s="92"/>
      <c r="G3" s="92"/>
      <c r="H3" s="92"/>
      <c r="I3" s="1"/>
    </row>
    <row r="4" spans="1:9" ht="15" customHeight="1" x14ac:dyDescent="0.25">
      <c r="A4" s="1"/>
      <c r="B4" s="92"/>
      <c r="C4" s="92"/>
      <c r="D4" s="92"/>
      <c r="E4" s="92"/>
      <c r="F4" s="92"/>
      <c r="G4" s="92"/>
      <c r="H4" s="9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6" t="s">
        <v>106</v>
      </c>
      <c r="C8" s="97"/>
      <c r="D8" s="97"/>
      <c r="E8" s="97"/>
      <c r="F8" s="97"/>
      <c r="G8" s="97"/>
      <c r="H8" s="98"/>
      <c r="I8" s="1"/>
    </row>
    <row r="9" spans="1:9" ht="15" customHeight="1" x14ac:dyDescent="0.25">
      <c r="A9" s="1"/>
      <c r="B9" s="115" t="s">
        <v>107</v>
      </c>
      <c r="C9" s="116"/>
      <c r="D9" s="116"/>
      <c r="E9" s="116"/>
      <c r="F9" s="116"/>
      <c r="G9" s="116"/>
      <c r="H9" s="117"/>
      <c r="I9" s="1"/>
    </row>
    <row r="10" spans="1:9" x14ac:dyDescent="0.25">
      <c r="A10" s="1"/>
      <c r="B10" s="118" t="s">
        <v>108</v>
      </c>
      <c r="C10" s="119"/>
      <c r="D10" s="119"/>
      <c r="E10" s="119"/>
      <c r="F10" s="120"/>
      <c r="G10" s="45">
        <v>0</v>
      </c>
      <c r="H10" s="8" t="s">
        <v>3</v>
      </c>
      <c r="I10" s="1"/>
    </row>
    <row r="11" spans="1:9" x14ac:dyDescent="0.25">
      <c r="A11" s="1"/>
      <c r="B11" s="118" t="s">
        <v>109</v>
      </c>
      <c r="C11" s="119"/>
      <c r="D11" s="119"/>
      <c r="E11" s="119"/>
      <c r="F11" s="120"/>
      <c r="G11" s="45">
        <v>0</v>
      </c>
      <c r="H11" s="8" t="s">
        <v>3</v>
      </c>
      <c r="I11" s="1"/>
    </row>
    <row r="12" spans="1:9" x14ac:dyDescent="0.25">
      <c r="A12" s="1"/>
      <c r="B12" s="118" t="s">
        <v>110</v>
      </c>
      <c r="C12" s="119"/>
      <c r="D12" s="119"/>
      <c r="E12" s="119"/>
      <c r="F12" s="120"/>
      <c r="G12" s="8">
        <v>0</v>
      </c>
      <c r="H12" s="8" t="s">
        <v>3</v>
      </c>
      <c r="I12" s="1"/>
    </row>
    <row r="13" spans="1:9" x14ac:dyDescent="0.25">
      <c r="A13" s="1"/>
      <c r="B13" s="118" t="s">
        <v>111</v>
      </c>
      <c r="C13" s="119"/>
      <c r="D13" s="119"/>
      <c r="E13" s="119"/>
      <c r="F13" s="120"/>
      <c r="G13" s="8">
        <v>0</v>
      </c>
      <c r="H13" s="8" t="s">
        <v>3</v>
      </c>
      <c r="I13" s="1"/>
    </row>
    <row r="14" spans="1:9" x14ac:dyDescent="0.25">
      <c r="A14" s="1"/>
      <c r="B14" s="118" t="s">
        <v>112</v>
      </c>
      <c r="C14" s="119"/>
      <c r="D14" s="119"/>
      <c r="E14" s="119"/>
      <c r="F14" s="120"/>
      <c r="G14" s="8">
        <v>0</v>
      </c>
      <c r="H14" s="8" t="s">
        <v>3</v>
      </c>
      <c r="I14" s="1"/>
    </row>
    <row r="15" spans="1:9" x14ac:dyDescent="0.25">
      <c r="A15" s="1"/>
      <c r="B15" s="118" t="s">
        <v>113</v>
      </c>
      <c r="C15" s="119"/>
      <c r="D15" s="119"/>
      <c r="E15" s="119"/>
      <c r="F15" s="120"/>
      <c r="G15" s="8">
        <v>0</v>
      </c>
      <c r="H15" s="8" t="s">
        <v>3</v>
      </c>
      <c r="I15" s="1"/>
    </row>
    <row r="16" spans="1:9" x14ac:dyDescent="0.25">
      <c r="A16" s="1"/>
      <c r="B16" s="118" t="s">
        <v>114</v>
      </c>
      <c r="C16" s="119"/>
      <c r="D16" s="119"/>
      <c r="E16" s="119"/>
      <c r="F16" s="120"/>
      <c r="G16" s="8">
        <v>0</v>
      </c>
      <c r="H16" s="8" t="s">
        <v>3</v>
      </c>
      <c r="I16" s="1"/>
    </row>
    <row r="17" spans="1:9" x14ac:dyDescent="0.25">
      <c r="A17" s="1"/>
      <c r="B17" s="118" t="s">
        <v>115</v>
      </c>
      <c r="C17" s="119"/>
      <c r="D17" s="119"/>
      <c r="E17" s="119"/>
      <c r="F17" s="120"/>
      <c r="G17" s="8">
        <v>0</v>
      </c>
      <c r="H17" s="8" t="s">
        <v>3</v>
      </c>
      <c r="I17" s="1"/>
    </row>
    <row r="18" spans="1:9" x14ac:dyDescent="0.25">
      <c r="A18" s="1"/>
      <c r="B18" s="96" t="s">
        <v>116</v>
      </c>
      <c r="C18" s="97"/>
      <c r="D18" s="97"/>
      <c r="E18" s="97"/>
      <c r="F18" s="98"/>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KHYy2CU1Kn0qULkr9+//s6uupgBG+5XZcqk7Hx+HOQJSZylTGcRmY08uoLj6PontNpJr01VwsJHB9Xc4IO1VXA==" saltValue="nFrGtrbBcUblLOGUoty92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2" t="s">
        <v>117</v>
      </c>
      <c r="C3" s="92"/>
      <c r="D3" s="92"/>
      <c r="E3" s="92"/>
      <c r="F3" s="92"/>
      <c r="G3" s="92"/>
      <c r="H3" s="92"/>
      <c r="I3" s="92"/>
      <c r="J3" s="92"/>
      <c r="K3" s="92"/>
      <c r="L3" s="1"/>
    </row>
    <row r="4" spans="1:12" ht="15" customHeight="1" x14ac:dyDescent="0.25">
      <c r="A4" s="1"/>
      <c r="B4" s="92"/>
      <c r="C4" s="92"/>
      <c r="D4" s="92"/>
      <c r="E4" s="92"/>
      <c r="F4" s="92"/>
      <c r="G4" s="92"/>
      <c r="H4" s="92"/>
      <c r="I4" s="92"/>
      <c r="J4" s="92"/>
      <c r="K4" s="9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6" t="s">
        <v>98</v>
      </c>
      <c r="C8" s="97"/>
      <c r="D8" s="97"/>
      <c r="E8" s="97"/>
      <c r="F8" s="97"/>
      <c r="G8" s="97"/>
      <c r="H8" s="97"/>
      <c r="I8" s="97"/>
      <c r="J8" s="97"/>
      <c r="K8" s="98"/>
      <c r="L8" s="1"/>
    </row>
    <row r="9" spans="1:12" ht="39.75" customHeight="1" x14ac:dyDescent="0.25">
      <c r="A9" s="1"/>
      <c r="B9" s="16" t="s">
        <v>0</v>
      </c>
      <c r="C9" s="16" t="s">
        <v>1</v>
      </c>
      <c r="D9" s="121" t="s">
        <v>105</v>
      </c>
      <c r="E9" s="122"/>
      <c r="F9" s="121" t="s">
        <v>2</v>
      </c>
      <c r="G9" s="122"/>
      <c r="H9" s="121" t="s">
        <v>104</v>
      </c>
      <c r="I9" s="122"/>
      <c r="J9" s="121" t="s">
        <v>23</v>
      </c>
      <c r="K9" s="122"/>
      <c r="L9" s="1"/>
    </row>
    <row r="10" spans="1:12" x14ac:dyDescent="0.25">
      <c r="A10" s="1"/>
      <c r="B10" s="69" t="s">
        <v>164</v>
      </c>
      <c r="C10" s="29">
        <v>0</v>
      </c>
      <c r="D10" s="8">
        <v>0</v>
      </c>
      <c r="E10" s="12" t="s">
        <v>3</v>
      </c>
      <c r="F10" s="8">
        <f>IFERROR(D10/C10,0)</f>
        <v>0</v>
      </c>
      <c r="G10" s="12" t="s">
        <v>3</v>
      </c>
      <c r="H10" s="8">
        <v>0</v>
      </c>
      <c r="I10" s="12" t="s">
        <v>3</v>
      </c>
      <c r="J10" s="8">
        <v>0</v>
      </c>
      <c r="K10" s="12" t="s">
        <v>3</v>
      </c>
      <c r="L10" s="1"/>
    </row>
    <row r="11" spans="1:12" x14ac:dyDescent="0.25">
      <c r="A11" s="1"/>
      <c r="B11" s="96" t="s">
        <v>99</v>
      </c>
      <c r="C11" s="97"/>
      <c r="D11" s="97"/>
      <c r="E11" s="98"/>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Q0TOND1Pp+/feZvrB9gU+sxBzygfHLgQtwvX5AtfOxEOy5fMUnCBBnR5o6py6JIv91ius0UVlVtlL9nHl0+qrA==" saltValue="kuX8WYvrMQTthsNG2QB4QA=="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118</v>
      </c>
      <c r="C3" s="92"/>
      <c r="D3" s="92"/>
      <c r="E3" s="92"/>
      <c r="F3" s="92"/>
      <c r="G3" s="1"/>
    </row>
    <row r="4" spans="1:7" ht="1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67" t="s">
        <v>16</v>
      </c>
      <c r="C9" s="67" t="s">
        <v>10</v>
      </c>
      <c r="D9" s="68"/>
      <c r="E9" s="67" t="s">
        <v>24</v>
      </c>
      <c r="F9" s="71"/>
      <c r="G9" s="1"/>
    </row>
    <row r="10" spans="1:7" x14ac:dyDescent="0.25">
      <c r="A10" s="1"/>
      <c r="B10" s="20" t="s">
        <v>103</v>
      </c>
      <c r="C10" s="19">
        <f>'Fane 8. Anlægsprojekter (§ 19)'!H11</f>
        <v>0</v>
      </c>
      <c r="D10" s="12" t="s">
        <v>3</v>
      </c>
      <c r="E10" s="8">
        <f>SUM('Fane 8. Anlægsprojekter (§ 19)'!F11,'Fane 8. Anlægsprojekter (§ 19)'!J11)</f>
        <v>0</v>
      </c>
      <c r="F10" s="12" t="s">
        <v>3</v>
      </c>
      <c r="G10" s="1"/>
    </row>
    <row r="11" spans="1:7" x14ac:dyDescent="0.25">
      <c r="A11" s="1"/>
      <c r="B11" s="20" t="s">
        <v>173</v>
      </c>
      <c r="C11" s="19">
        <v>45523</v>
      </c>
      <c r="D11" s="12" t="s">
        <v>3</v>
      </c>
      <c r="E11" s="8">
        <v>88855</v>
      </c>
      <c r="F11" s="12" t="s">
        <v>3</v>
      </c>
      <c r="G11" s="1"/>
    </row>
    <row r="12" spans="1:7" x14ac:dyDescent="0.25">
      <c r="A12" s="1"/>
      <c r="B12" s="20" t="s">
        <v>174</v>
      </c>
      <c r="C12" s="19">
        <v>166669</v>
      </c>
      <c r="D12" s="12" t="s">
        <v>3</v>
      </c>
      <c r="E12" s="8">
        <v>258596</v>
      </c>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2" t="s">
        <v>93</v>
      </c>
      <c r="C16" s="10">
        <f>SUM(C10:C15)</f>
        <v>212192</v>
      </c>
      <c r="D16" s="11" t="s">
        <v>3</v>
      </c>
      <c r="E16" s="10">
        <f>SUM(E10:E15)</f>
        <v>347451</v>
      </c>
      <c r="F16" s="11" t="s">
        <v>3</v>
      </c>
      <c r="G16" s="1"/>
    </row>
    <row r="17" spans="1:7" x14ac:dyDescent="0.25">
      <c r="A17" s="1"/>
      <c r="B17" s="72" t="s">
        <v>156</v>
      </c>
      <c r="C17" s="10">
        <f>C16*(1+'Fane 13. Nøgletal'!C16)</f>
        <v>229337.11359999998</v>
      </c>
      <c r="D17" s="11" t="s">
        <v>3</v>
      </c>
      <c r="E17" s="10">
        <f>E16*(1+'Fane 13. Nøgletal'!C16)</f>
        <v>375525.04080000002</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sheetData>
  <sheetProtection algorithmName="SHA-512" hashValue="tW9TSt0sH4aTIMSOJJ6QPLYPyds6h2Qa3OGMZW45oTwi3WxO5pjwSH2P7DBFV/EbZaco7EbZDLo0dFjfJgyuJQ==" saltValue="dQ5wZ4uJiOUzDFYaBlxVug=="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119</v>
      </c>
      <c r="C3" s="92"/>
      <c r="D3" s="92"/>
      <c r="E3" s="92"/>
      <c r="F3" s="92"/>
      <c r="G3" s="1"/>
    </row>
    <row r="4" spans="1:7" ht="1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6" t="s">
        <v>157</v>
      </c>
      <c r="C9" s="97"/>
      <c r="D9" s="97"/>
      <c r="E9" s="97"/>
      <c r="F9" s="98"/>
      <c r="G9" s="1"/>
    </row>
    <row r="10" spans="1:7" x14ac:dyDescent="0.25">
      <c r="A10" s="1"/>
      <c r="B10" s="67" t="s">
        <v>16</v>
      </c>
      <c r="C10" s="67" t="s">
        <v>10</v>
      </c>
      <c r="D10" s="68"/>
      <c r="E10" s="67" t="s">
        <v>24</v>
      </c>
      <c r="F10" s="71"/>
      <c r="G10" s="1"/>
    </row>
    <row r="11" spans="1:7" x14ac:dyDescent="0.25">
      <c r="A11" s="1"/>
      <c r="B11" s="20" t="s">
        <v>175</v>
      </c>
      <c r="C11" s="19">
        <v>80247</v>
      </c>
      <c r="D11" s="12" t="s">
        <v>3</v>
      </c>
      <c r="E11" s="19">
        <v>0</v>
      </c>
      <c r="F11" s="12" t="s">
        <v>3</v>
      </c>
      <c r="G11" s="1"/>
    </row>
    <row r="12" spans="1:7" x14ac:dyDescent="0.25">
      <c r="A12" s="1"/>
      <c r="B12" s="20" t="s">
        <v>176</v>
      </c>
      <c r="C12" s="19"/>
      <c r="D12" s="12" t="s">
        <v>3</v>
      </c>
      <c r="E12" s="19"/>
      <c r="F12" s="12" t="s">
        <v>3</v>
      </c>
      <c r="G12" s="1"/>
    </row>
    <row r="13" spans="1:7" x14ac:dyDescent="0.25">
      <c r="A13" s="1"/>
      <c r="B13" s="72" t="s">
        <v>158</v>
      </c>
      <c r="C13" s="10">
        <f>SUM(C11:C12)</f>
        <v>80247</v>
      </c>
      <c r="D13" s="11" t="s">
        <v>3</v>
      </c>
      <c r="E13" s="10">
        <f>SUM(E11:E12)</f>
        <v>0</v>
      </c>
      <c r="F13" s="11" t="s">
        <v>3</v>
      </c>
      <c r="G13" s="1"/>
    </row>
    <row r="14" spans="1:7" x14ac:dyDescent="0.25">
      <c r="A14" s="1"/>
      <c r="B14" s="72" t="s">
        <v>159</v>
      </c>
      <c r="C14" s="10">
        <f>C13*(1+'Fane 13. Nøgletal'!C16)^2</f>
        <v>93738.818974080001</v>
      </c>
      <c r="D14" s="11" t="s">
        <v>3</v>
      </c>
      <c r="E14" s="10">
        <f>E13*(1+'Fane 13. Nøgletal'!C16)^2</f>
        <v>0</v>
      </c>
      <c r="F14" s="11" t="s">
        <v>3</v>
      </c>
      <c r="G14" s="1"/>
    </row>
    <row r="15" spans="1:7" x14ac:dyDescent="0.25">
      <c r="A15" s="1"/>
      <c r="B15" s="1"/>
      <c r="C15" s="1"/>
      <c r="D15" s="1"/>
      <c r="E15" s="1"/>
      <c r="F15" s="1"/>
      <c r="G15" s="1"/>
    </row>
    <row r="16" spans="1:7" x14ac:dyDescent="0.25">
      <c r="A16" s="1"/>
      <c r="B16" s="123"/>
      <c r="C16" s="123"/>
      <c r="D16" s="123"/>
      <c r="E16" s="123"/>
      <c r="F16" s="123"/>
      <c r="G16" s="1"/>
    </row>
    <row r="17" spans="1:7" x14ac:dyDescent="0.25">
      <c r="A17" s="1"/>
      <c r="B17" s="33"/>
      <c r="C17" s="33"/>
      <c r="D17" s="33"/>
      <c r="E17" s="33"/>
      <c r="F17" s="34"/>
      <c r="G17" s="1"/>
    </row>
    <row r="18" spans="1:7" x14ac:dyDescent="0.25">
      <c r="A18" s="1"/>
      <c r="B18" s="35"/>
      <c r="C18" s="36"/>
      <c r="D18" s="37"/>
      <c r="E18" s="36"/>
      <c r="F18" s="37"/>
      <c r="G18" s="1"/>
    </row>
    <row r="19" spans="1:7" x14ac:dyDescent="0.25">
      <c r="A19" s="1"/>
      <c r="B19" s="35"/>
      <c r="C19" s="36"/>
      <c r="D19" s="37"/>
      <c r="E19" s="36"/>
      <c r="F19" s="37"/>
      <c r="G19" s="1"/>
    </row>
    <row r="20" spans="1:7" x14ac:dyDescent="0.25">
      <c r="A20" s="1"/>
      <c r="B20" s="38"/>
      <c r="C20" s="39"/>
      <c r="D20" s="40"/>
      <c r="E20" s="39"/>
      <c r="F20" s="40"/>
      <c r="G20" s="1"/>
    </row>
    <row r="21" spans="1:7" x14ac:dyDescent="0.25">
      <c r="A21" s="1"/>
      <c r="B21" s="38"/>
      <c r="C21" s="39"/>
      <c r="D21" s="40"/>
      <c r="E21" s="39"/>
      <c r="F21" s="40"/>
      <c r="G21" s="1"/>
    </row>
    <row r="22" spans="1:7" x14ac:dyDescent="0.25">
      <c r="A22" s="1"/>
      <c r="B22" s="41"/>
      <c r="C22" s="41"/>
      <c r="D22" s="41"/>
      <c r="E22" s="41"/>
      <c r="F22" s="41"/>
      <c r="G22" s="1"/>
    </row>
    <row r="23" spans="1:7" x14ac:dyDescent="0.25">
      <c r="A23" s="1"/>
      <c r="B23" s="123"/>
      <c r="C23" s="123"/>
      <c r="D23" s="123"/>
      <c r="E23" s="123"/>
      <c r="F23" s="123"/>
      <c r="G23" s="1"/>
    </row>
    <row r="24" spans="1:7" x14ac:dyDescent="0.25">
      <c r="A24" s="1"/>
      <c r="B24" s="33"/>
      <c r="C24" s="33"/>
      <c r="D24" s="33"/>
      <c r="E24" s="33"/>
      <c r="F24" s="34"/>
      <c r="G24" s="1"/>
    </row>
    <row r="25" spans="1:7" x14ac:dyDescent="0.25">
      <c r="A25" s="1"/>
      <c r="B25" s="35"/>
      <c r="C25" s="36"/>
      <c r="D25" s="37"/>
      <c r="E25" s="36"/>
      <c r="F25" s="37"/>
      <c r="G25" s="1"/>
    </row>
    <row r="26" spans="1:7" x14ac:dyDescent="0.25">
      <c r="A26" s="1"/>
      <c r="B26" s="35"/>
      <c r="C26" s="36"/>
      <c r="D26" s="37"/>
      <c r="E26" s="36"/>
      <c r="F26" s="37"/>
      <c r="G26" s="1"/>
    </row>
    <row r="27" spans="1:7" x14ac:dyDescent="0.25">
      <c r="A27" s="1"/>
      <c r="B27" s="38"/>
      <c r="C27" s="39"/>
      <c r="D27" s="40"/>
      <c r="E27" s="39"/>
      <c r="F27" s="40"/>
      <c r="G27" s="1"/>
    </row>
    <row r="28" spans="1:7" x14ac:dyDescent="0.25">
      <c r="A28" s="1"/>
      <c r="B28" s="38"/>
      <c r="C28" s="39"/>
      <c r="D28" s="40"/>
      <c r="E28" s="39"/>
      <c r="F28" s="40"/>
      <c r="G28" s="1"/>
    </row>
    <row r="29" spans="1:7" x14ac:dyDescent="0.25">
      <c r="A29" s="1"/>
      <c r="B29" s="41"/>
      <c r="C29" s="41"/>
      <c r="D29" s="41"/>
      <c r="E29" s="41"/>
      <c r="F29" s="41"/>
      <c r="G29" s="1"/>
    </row>
    <row r="30" spans="1:7" x14ac:dyDescent="0.25">
      <c r="A30" s="1"/>
      <c r="B30" s="123"/>
      <c r="C30" s="123"/>
      <c r="D30" s="123"/>
      <c r="E30" s="123"/>
      <c r="F30" s="123"/>
      <c r="G30" s="1"/>
    </row>
    <row r="31" spans="1:7" x14ac:dyDescent="0.25">
      <c r="A31" s="1"/>
      <c r="B31" s="33"/>
      <c r="C31" s="33"/>
      <c r="D31" s="33"/>
      <c r="E31" s="33"/>
      <c r="F31" s="34"/>
      <c r="G31" s="1"/>
    </row>
    <row r="32" spans="1:7" x14ac:dyDescent="0.25">
      <c r="A32" s="1"/>
      <c r="B32" s="35"/>
      <c r="C32" s="36"/>
      <c r="D32" s="37"/>
      <c r="E32" s="36"/>
      <c r="F32" s="37"/>
      <c r="G32" s="1"/>
    </row>
    <row r="33" spans="1:7" x14ac:dyDescent="0.25">
      <c r="A33" s="1"/>
      <c r="B33" s="35"/>
      <c r="C33" s="36"/>
      <c r="D33" s="37"/>
      <c r="E33" s="36"/>
      <c r="F33" s="37"/>
      <c r="G33" s="1"/>
    </row>
    <row r="34" spans="1:7" x14ac:dyDescent="0.25">
      <c r="A34" s="1"/>
      <c r="B34" s="38"/>
      <c r="C34" s="39"/>
      <c r="D34" s="40"/>
      <c r="E34" s="39"/>
      <c r="F34" s="40"/>
      <c r="G34" s="1"/>
    </row>
    <row r="35" spans="1:7" x14ac:dyDescent="0.25">
      <c r="A35" s="1"/>
      <c r="B35" s="38"/>
      <c r="C35" s="39"/>
      <c r="D35" s="40"/>
      <c r="E35" s="39"/>
      <c r="F35" s="4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5iU4uf7iePQRG51MWtzcBjuhPUAPzjn56o++MNWpnpB0fI6QIufz6iGFxf0iCwEg+7ogHKFzGICnmX6uSTvrg==" saltValue="NAKZsqd+VgbDsMhx0y6xTA=="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30:F30"/>
    <mergeCell ref="B3:F4"/>
    <mergeCell ref="B9:F9"/>
    <mergeCell ref="B23:F23"/>
    <mergeCell ref="B16:F16"/>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G50"/>
  <sheetViews>
    <sheetView showGridLines="0" view="pageLayout" zoomScale="95" zoomScaleNormal="100" zoomScalePageLayoutView="9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120</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96" t="s">
        <v>62</v>
      </c>
      <c r="C9" s="97"/>
      <c r="D9" s="97"/>
      <c r="E9" s="97"/>
      <c r="F9" s="98"/>
      <c r="G9" s="1"/>
    </row>
    <row r="10" spans="1:7" x14ac:dyDescent="0.25">
      <c r="A10" s="1"/>
      <c r="B10" s="118" t="s">
        <v>153</v>
      </c>
      <c r="C10" s="119"/>
      <c r="D10" s="120"/>
      <c r="E10" s="8">
        <v>0</v>
      </c>
      <c r="F10" s="12" t="s">
        <v>3</v>
      </c>
      <c r="G10" s="1"/>
    </row>
    <row r="11" spans="1:7" x14ac:dyDescent="0.25">
      <c r="A11" s="1"/>
      <c r="B11" s="124" t="s">
        <v>47</v>
      </c>
      <c r="C11" s="125"/>
      <c r="D11" s="126"/>
      <c r="E11" s="8">
        <f>-E10*'Fane 13. Nøgletal'!C21</f>
        <v>0</v>
      </c>
      <c r="F11" s="12" t="s">
        <v>3</v>
      </c>
      <c r="G11" s="1"/>
    </row>
    <row r="12" spans="1:7" x14ac:dyDescent="0.25">
      <c r="A12" s="1"/>
      <c r="B12" s="96" t="s">
        <v>63</v>
      </c>
      <c r="C12" s="97"/>
      <c r="D12" s="98"/>
      <c r="E12" s="10">
        <f>SUM(E10:E11)*(1+'Fane 13. Nøgletal'!C16)^2</f>
        <v>0</v>
      </c>
      <c r="F12" s="11" t="s">
        <v>3</v>
      </c>
      <c r="G12" s="1"/>
    </row>
    <row r="13" spans="1:7" x14ac:dyDescent="0.25">
      <c r="A13" s="1"/>
      <c r="B13" s="1"/>
      <c r="C13" s="1"/>
      <c r="D13" s="1"/>
      <c r="E13" s="1"/>
      <c r="F13" s="1"/>
      <c r="G13" s="1"/>
    </row>
    <row r="14" spans="1:7" x14ac:dyDescent="0.25">
      <c r="A14" s="1"/>
      <c r="B14" s="96" t="s">
        <v>75</v>
      </c>
      <c r="C14" s="97"/>
      <c r="D14" s="97"/>
      <c r="E14" s="97"/>
      <c r="F14" s="98"/>
      <c r="G14" s="1"/>
    </row>
    <row r="15" spans="1:7" x14ac:dyDescent="0.25">
      <c r="A15" s="1"/>
      <c r="B15" s="118" t="s">
        <v>153</v>
      </c>
      <c r="C15" s="119"/>
      <c r="D15" s="120"/>
      <c r="E15" s="8">
        <v>0</v>
      </c>
      <c r="F15" s="12" t="s">
        <v>3</v>
      </c>
      <c r="G15" s="1"/>
    </row>
    <row r="16" spans="1:7" x14ac:dyDescent="0.25">
      <c r="A16" s="1"/>
      <c r="B16" s="124" t="s">
        <v>47</v>
      </c>
      <c r="C16" s="125"/>
      <c r="D16" s="126"/>
      <c r="E16" s="8">
        <f>-E15*'Fane 13. Nøgletal'!C21</f>
        <v>0</v>
      </c>
      <c r="F16" s="12" t="s">
        <v>3</v>
      </c>
      <c r="G16" s="1"/>
    </row>
    <row r="17" spans="1:7" x14ac:dyDescent="0.25">
      <c r="A17" s="1"/>
      <c r="B17" s="96" t="s">
        <v>76</v>
      </c>
      <c r="C17" s="97"/>
      <c r="D17" s="98"/>
      <c r="E17" s="10">
        <f>SUM(E15:E16)*(1+'Fane 13. Nøgletal'!C16)^3</f>
        <v>0</v>
      </c>
      <c r="F17" s="11" t="s">
        <v>3</v>
      </c>
      <c r="G17" s="1"/>
    </row>
    <row r="18" spans="1:7" x14ac:dyDescent="0.25">
      <c r="A18" s="1"/>
      <c r="B18" s="1"/>
      <c r="C18" s="1"/>
      <c r="D18" s="1"/>
      <c r="E18" s="1"/>
      <c r="F18" s="1"/>
      <c r="G18" s="1"/>
    </row>
    <row r="19" spans="1:7" x14ac:dyDescent="0.25">
      <c r="A19" s="1"/>
      <c r="B19" s="96" t="s">
        <v>94</v>
      </c>
      <c r="C19" s="97"/>
      <c r="D19" s="97"/>
      <c r="E19" s="97"/>
      <c r="F19" s="98"/>
      <c r="G19" s="1"/>
    </row>
    <row r="20" spans="1:7" x14ac:dyDescent="0.25">
      <c r="A20" s="1"/>
      <c r="B20" s="118" t="s">
        <v>153</v>
      </c>
      <c r="C20" s="119"/>
      <c r="D20" s="120"/>
      <c r="E20" s="8">
        <v>0</v>
      </c>
      <c r="F20" s="12" t="s">
        <v>3</v>
      </c>
      <c r="G20" s="1"/>
    </row>
    <row r="21" spans="1:7" x14ac:dyDescent="0.25">
      <c r="A21" s="1"/>
      <c r="B21" s="124" t="s">
        <v>47</v>
      </c>
      <c r="C21" s="125"/>
      <c r="D21" s="126"/>
      <c r="E21" s="8">
        <f>-E20*'Fane 13. Nøgletal'!C21</f>
        <v>0</v>
      </c>
      <c r="F21" s="12" t="s">
        <v>3</v>
      </c>
      <c r="G21" s="1"/>
    </row>
    <row r="22" spans="1:7" x14ac:dyDescent="0.25">
      <c r="A22" s="1"/>
      <c r="B22" s="96" t="s">
        <v>95</v>
      </c>
      <c r="C22" s="97"/>
      <c r="D22" s="98"/>
      <c r="E22" s="10">
        <f>SUM(E20:E21)*(1+'Fane 13. Nøgletal'!C16)^4</f>
        <v>0</v>
      </c>
      <c r="F22" s="11" t="s">
        <v>3</v>
      </c>
      <c r="G22" s="1"/>
    </row>
    <row r="23" spans="1:7" x14ac:dyDescent="0.25">
      <c r="A23" s="1"/>
      <c r="B23" s="1"/>
      <c r="C23" s="1"/>
      <c r="D23" s="1"/>
      <c r="E23" s="1"/>
      <c r="F23" s="1"/>
      <c r="G23" s="1"/>
    </row>
    <row r="24" spans="1:7" ht="15" customHeight="1" x14ac:dyDescent="0.25">
      <c r="A24" s="1"/>
      <c r="B24" s="96" t="s">
        <v>152</v>
      </c>
      <c r="C24" s="97"/>
      <c r="D24" s="97"/>
      <c r="E24" s="97"/>
      <c r="F24" s="98"/>
      <c r="G24" s="1"/>
    </row>
    <row r="25" spans="1:7" ht="14.25" customHeight="1" x14ac:dyDescent="0.25">
      <c r="A25" s="1"/>
      <c r="B25" s="118" t="s">
        <v>153</v>
      </c>
      <c r="C25" s="119"/>
      <c r="D25" s="120"/>
      <c r="E25" s="8">
        <v>0</v>
      </c>
      <c r="F25" s="12" t="s">
        <v>3</v>
      </c>
      <c r="G25" s="1"/>
    </row>
    <row r="26" spans="1:7" x14ac:dyDescent="0.25">
      <c r="A26" s="1"/>
      <c r="B26" s="124" t="s">
        <v>47</v>
      </c>
      <c r="C26" s="125"/>
      <c r="D26" s="126"/>
      <c r="E26" s="8">
        <f>-E25*'Fane 13. Nøgletal'!C21</f>
        <v>0</v>
      </c>
      <c r="F26" s="12" t="s">
        <v>3</v>
      </c>
      <c r="G26" s="1"/>
    </row>
    <row r="27" spans="1:7" x14ac:dyDescent="0.25">
      <c r="A27" s="1"/>
      <c r="B27" s="96" t="s">
        <v>154</v>
      </c>
      <c r="C27" s="97"/>
      <c r="D27" s="98"/>
      <c r="E27" s="10">
        <f>SUM(E25:E26)*(1+'Fane 13. Nøgletal'!C16)^5</f>
        <v>0</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nxl9GCfZgs7OJkv3y1FlGQt9Kt1QZLhbXw6M5iwVMri7gRG9z2zYkZ+jPgqrXrW4uJ9NwVTnkwqfObhzQsm/A==" saltValue="X/I9+ERJLC7miTo5vnQcxw=="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24:F24"/>
    <mergeCell ref="B25:D25"/>
    <mergeCell ref="B26:D26"/>
    <mergeCell ref="B27:D27"/>
    <mergeCell ref="B11:D11"/>
    <mergeCell ref="B3:F5"/>
    <mergeCell ref="B12:D12"/>
    <mergeCell ref="B14:F14"/>
    <mergeCell ref="B9:F9"/>
    <mergeCell ref="B22:D22"/>
    <mergeCell ref="B19:F19"/>
    <mergeCell ref="B20:D20"/>
    <mergeCell ref="B17:D17"/>
    <mergeCell ref="B15:D15"/>
    <mergeCell ref="B16:D16"/>
    <mergeCell ref="B21:D21"/>
    <mergeCell ref="B10:D10"/>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121</v>
      </c>
      <c r="C3" s="95"/>
      <c r="D3" s="95"/>
      <c r="E3" s="95"/>
      <c r="F3" s="95"/>
      <c r="G3" s="1"/>
    </row>
    <row r="4" spans="1:7" ht="25.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6" t="s">
        <v>64</v>
      </c>
      <c r="C8" s="97"/>
      <c r="D8" s="97"/>
      <c r="E8" s="97"/>
      <c r="F8" s="98"/>
      <c r="G8" s="1"/>
    </row>
    <row r="9" spans="1:7" ht="15" customHeight="1" x14ac:dyDescent="0.25">
      <c r="A9" s="1"/>
      <c r="B9" s="70" t="s">
        <v>65</v>
      </c>
      <c r="C9" s="127" t="s">
        <v>10</v>
      </c>
      <c r="D9" s="128"/>
      <c r="E9" s="127" t="s">
        <v>24</v>
      </c>
      <c r="F9" s="128"/>
      <c r="G9" s="1"/>
    </row>
    <row r="10" spans="1:7" ht="26.25" x14ac:dyDescent="0.25">
      <c r="A10" s="1"/>
      <c r="B10" s="56" t="s">
        <v>168</v>
      </c>
      <c r="C10" s="8">
        <v>0</v>
      </c>
      <c r="D10" s="12" t="s">
        <v>3</v>
      </c>
      <c r="E10" s="8">
        <v>0</v>
      </c>
      <c r="F10" s="12" t="s">
        <v>3</v>
      </c>
      <c r="G10" s="1"/>
    </row>
    <row r="11" spans="1:7" x14ac:dyDescent="0.25">
      <c r="A11" s="1"/>
      <c r="B11" s="20"/>
      <c r="C11" s="8"/>
      <c r="D11" s="12" t="s">
        <v>3</v>
      </c>
      <c r="E11" s="8"/>
      <c r="F11" s="12" t="s">
        <v>3</v>
      </c>
      <c r="G11" s="1"/>
    </row>
    <row r="12" spans="1:7" ht="28.5" customHeight="1" x14ac:dyDescent="0.25">
      <c r="A12" s="1"/>
      <c r="B12" s="18" t="s">
        <v>96</v>
      </c>
      <c r="C12" s="10">
        <f>SUM(C10:C10)</f>
        <v>0</v>
      </c>
      <c r="D12" s="11" t="s">
        <v>3</v>
      </c>
      <c r="E12" s="10">
        <f>SUM(E10:E10)</f>
        <v>0</v>
      </c>
      <c r="F12" s="11" t="s">
        <v>3</v>
      </c>
      <c r="G12" s="1"/>
    </row>
    <row r="13" spans="1:7" ht="27" customHeight="1" x14ac:dyDescent="0.25">
      <c r="A13" s="1"/>
      <c r="B13" s="18" t="s">
        <v>160</v>
      </c>
      <c r="C13" s="10">
        <f>C12*(1+'Fane 13. Nøgletal'!C16)</f>
        <v>0</v>
      </c>
      <c r="D13" s="11" t="s">
        <v>3</v>
      </c>
      <c r="E13" s="10">
        <f>E12*(1+'Fane 13. Nøgletal'!C16)</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GITjH018MJZQ1oNtMZnz3/8fcU+JpF0snvM43UM0L9ORgpaVnjjhMZ3pqhRp3LheGGmgtLgdUwqUwzCc0TfuEw==" saltValue="dBvYMmQy8ffPFIkzvAfpgQ=="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122</v>
      </c>
      <c r="C3" s="95"/>
      <c r="D3" s="95"/>
      <c r="E3" s="95"/>
      <c r="F3" s="95"/>
      <c r="G3" s="1"/>
    </row>
    <row r="4" spans="1:7" ht="25.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6" t="s">
        <v>161</v>
      </c>
      <c r="C9" s="97"/>
      <c r="D9" s="97"/>
      <c r="E9" s="97"/>
      <c r="F9" s="98"/>
      <c r="G9" s="1"/>
    </row>
    <row r="10" spans="1:7" ht="15" customHeight="1" x14ac:dyDescent="0.25">
      <c r="A10" s="1"/>
      <c r="B10" s="70" t="s">
        <v>17</v>
      </c>
      <c r="C10" s="70" t="s">
        <v>10</v>
      </c>
      <c r="D10" s="71"/>
      <c r="E10" s="70" t="s">
        <v>24</v>
      </c>
      <c r="F10" s="71"/>
      <c r="G10" s="1"/>
    </row>
    <row r="11" spans="1:7" x14ac:dyDescent="0.25">
      <c r="A11" s="1"/>
      <c r="B11" s="56" t="s">
        <v>169</v>
      </c>
      <c r="C11" s="8">
        <v>0</v>
      </c>
      <c r="D11" s="12" t="s">
        <v>3</v>
      </c>
      <c r="E11" s="8">
        <v>0</v>
      </c>
      <c r="F11" s="12" t="s">
        <v>3</v>
      </c>
      <c r="G11" s="1"/>
    </row>
    <row r="12" spans="1:7" x14ac:dyDescent="0.25">
      <c r="A12" s="1"/>
      <c r="B12" s="72" t="s">
        <v>40</v>
      </c>
      <c r="C12" s="10">
        <f>SUM(C11:C11)</f>
        <v>0</v>
      </c>
      <c r="D12" s="11" t="s">
        <v>3</v>
      </c>
      <c r="E12" s="10">
        <f>SUM(E11:E11)</f>
        <v>0</v>
      </c>
      <c r="F12" s="11" t="s">
        <v>3</v>
      </c>
      <c r="G12" s="1"/>
    </row>
    <row r="13" spans="1:7" x14ac:dyDescent="0.25">
      <c r="A13" s="1"/>
      <c r="B13" s="72" t="s">
        <v>162</v>
      </c>
      <c r="C13" s="10">
        <f>C12*(1+'Fane 13. Nøgletal'!C16)</f>
        <v>0</v>
      </c>
      <c r="D13" s="11" t="s">
        <v>3</v>
      </c>
      <c r="E13" s="10">
        <f>E12*(1+'Fane 13. Nøgletal'!C16)</f>
        <v>0</v>
      </c>
      <c r="F13" s="11" t="s">
        <v>3</v>
      </c>
      <c r="G13" s="1"/>
    </row>
    <row r="14" spans="1:7" x14ac:dyDescent="0.25">
      <c r="A14" s="1"/>
      <c r="B14" s="1"/>
      <c r="C14" s="1"/>
      <c r="D14" s="1"/>
      <c r="E14" s="1"/>
      <c r="F14" s="1"/>
      <c r="G14" s="1"/>
    </row>
    <row r="15" spans="1:7" x14ac:dyDescent="0.25">
      <c r="A15" s="1"/>
      <c r="B15" s="123"/>
      <c r="C15" s="123"/>
      <c r="D15" s="123"/>
      <c r="E15" s="123"/>
      <c r="F15" s="123"/>
      <c r="G15" s="1"/>
    </row>
    <row r="16" spans="1:7" ht="15" customHeight="1" x14ac:dyDescent="0.25">
      <c r="A16" s="1"/>
      <c r="B16" s="34"/>
      <c r="C16" s="34"/>
      <c r="D16" s="34"/>
      <c r="E16" s="34"/>
      <c r="F16" s="34"/>
      <c r="G16" s="1"/>
    </row>
    <row r="17" spans="1:7" x14ac:dyDescent="0.25">
      <c r="A17" s="1"/>
      <c r="B17" s="35"/>
      <c r="C17" s="42"/>
      <c r="D17" s="37"/>
      <c r="E17" s="42"/>
      <c r="F17" s="37"/>
      <c r="G17" s="1"/>
    </row>
    <row r="18" spans="1:7" x14ac:dyDescent="0.25">
      <c r="A18" s="1"/>
      <c r="B18" s="38"/>
      <c r="C18" s="39"/>
      <c r="D18" s="40"/>
      <c r="E18" s="39"/>
      <c r="F18" s="40"/>
      <c r="G18" s="1"/>
    </row>
    <row r="19" spans="1:7" x14ac:dyDescent="0.25">
      <c r="A19" s="1"/>
      <c r="B19" s="38"/>
      <c r="C19" s="39"/>
      <c r="D19" s="40"/>
      <c r="E19" s="39"/>
      <c r="F19" s="40"/>
      <c r="G19" s="1"/>
    </row>
    <row r="20" spans="1:7" x14ac:dyDescent="0.25">
      <c r="A20" s="1"/>
      <c r="B20" s="41"/>
      <c r="C20" s="41"/>
      <c r="D20" s="41"/>
      <c r="E20" s="41"/>
      <c r="F20" s="41"/>
      <c r="G20" s="1"/>
    </row>
    <row r="21" spans="1:7" x14ac:dyDescent="0.25">
      <c r="A21" s="1"/>
      <c r="B21" s="123"/>
      <c r="C21" s="123"/>
      <c r="D21" s="123"/>
      <c r="E21" s="123"/>
      <c r="F21" s="123"/>
      <c r="G21" s="1"/>
    </row>
    <row r="22" spans="1:7" ht="15" customHeight="1" x14ac:dyDescent="0.25">
      <c r="A22" s="1"/>
      <c r="B22" s="34"/>
      <c r="C22" s="34"/>
      <c r="D22" s="34"/>
      <c r="E22" s="34"/>
      <c r="F22" s="34"/>
      <c r="G22" s="1"/>
    </row>
    <row r="23" spans="1:7" x14ac:dyDescent="0.25">
      <c r="A23" s="1"/>
      <c r="B23" s="35"/>
      <c r="C23" s="42"/>
      <c r="D23" s="37"/>
      <c r="E23" s="42"/>
      <c r="F23" s="37"/>
      <c r="G23" s="1"/>
    </row>
    <row r="24" spans="1:7" x14ac:dyDescent="0.25">
      <c r="A24" s="1"/>
      <c r="B24" s="38"/>
      <c r="C24" s="39"/>
      <c r="D24" s="40"/>
      <c r="E24" s="39"/>
      <c r="F24" s="40"/>
      <c r="G24" s="1"/>
    </row>
    <row r="25" spans="1:7" x14ac:dyDescent="0.25">
      <c r="A25" s="1"/>
      <c r="B25" s="38"/>
      <c r="C25" s="39"/>
      <c r="D25" s="40"/>
      <c r="E25" s="39"/>
      <c r="F25" s="40"/>
      <c r="G25" s="1"/>
    </row>
    <row r="26" spans="1:7" x14ac:dyDescent="0.25">
      <c r="A26" s="1"/>
      <c r="B26" s="41"/>
      <c r="C26" s="41"/>
      <c r="D26" s="41"/>
      <c r="E26" s="41"/>
      <c r="F26" s="41"/>
      <c r="G26" s="1"/>
    </row>
    <row r="27" spans="1:7" x14ac:dyDescent="0.25">
      <c r="A27" s="1"/>
      <c r="B27" s="123"/>
      <c r="C27" s="123"/>
      <c r="D27" s="123"/>
      <c r="E27" s="123"/>
      <c r="F27" s="123"/>
      <c r="G27" s="1"/>
    </row>
    <row r="28" spans="1:7" ht="15" customHeight="1" x14ac:dyDescent="0.25">
      <c r="A28" s="1"/>
      <c r="B28" s="34"/>
      <c r="C28" s="34"/>
      <c r="D28" s="34"/>
      <c r="E28" s="34"/>
      <c r="F28" s="34"/>
      <c r="G28" s="1"/>
    </row>
    <row r="29" spans="1:7" x14ac:dyDescent="0.25">
      <c r="A29" s="1"/>
      <c r="B29" s="35"/>
      <c r="C29" s="42"/>
      <c r="D29" s="37"/>
      <c r="E29" s="42"/>
      <c r="F29" s="37"/>
      <c r="G29" s="1"/>
    </row>
    <row r="30" spans="1:7" x14ac:dyDescent="0.25">
      <c r="A30" s="1"/>
      <c r="B30" s="38"/>
      <c r="C30" s="39"/>
      <c r="D30" s="40"/>
      <c r="E30" s="39"/>
      <c r="F30" s="40"/>
      <c r="G30" s="1"/>
    </row>
    <row r="31" spans="1:7" x14ac:dyDescent="0.25">
      <c r="A31" s="1"/>
      <c r="B31" s="38"/>
      <c r="C31" s="39"/>
      <c r="D31" s="40"/>
      <c r="E31" s="39"/>
      <c r="F31" s="4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4YY5f50VzdNZCj/IZP9a+K5W213I3qzBXD+CZGZ96BnpDH3KLtAVNh8mvzjbWGVPGYj+Y9qWFwij0U6D+3wCg==" saltValue="EONX+bpG8bgnzYyiLhMiQQ=="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1"/>
  <sheetViews>
    <sheetView showGridLines="0" view="pageLayout" zoomScale="87" zoomScaleNormal="80" zoomScalePageLayoutView="87"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5" t="s">
        <v>123</v>
      </c>
      <c r="C3" s="95"/>
      <c r="D3" s="1"/>
    </row>
    <row r="4" spans="1:4" ht="25.5" customHeight="1" x14ac:dyDescent="0.25">
      <c r="A4" s="1"/>
      <c r="B4" s="95"/>
      <c r="C4" s="9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80</v>
      </c>
      <c r="C9" s="21">
        <v>1.2699999999999999E-2</v>
      </c>
      <c r="D9" s="1"/>
    </row>
    <row r="10" spans="1:4" x14ac:dyDescent="0.25">
      <c r="A10" s="1"/>
      <c r="B10" s="23" t="s">
        <v>77</v>
      </c>
      <c r="C10" s="21">
        <v>1.7500000000000002E-2</v>
      </c>
      <c r="D10" s="1"/>
    </row>
    <row r="11" spans="1:4" x14ac:dyDescent="0.25">
      <c r="A11" s="1"/>
      <c r="B11" s="23" t="s">
        <v>22</v>
      </c>
      <c r="C11" s="21">
        <v>1.6899999999999998E-2</v>
      </c>
      <c r="D11" s="1"/>
    </row>
    <row r="12" spans="1:4" x14ac:dyDescent="0.25">
      <c r="A12" s="1"/>
      <c r="B12" s="23" t="s">
        <v>31</v>
      </c>
      <c r="C12" s="21">
        <v>1.9699999999999999E-2</v>
      </c>
      <c r="D12" s="1"/>
    </row>
    <row r="13" spans="1:4" x14ac:dyDescent="0.25">
      <c r="A13" s="1"/>
      <c r="B13" s="25" t="s">
        <v>66</v>
      </c>
      <c r="C13" s="31">
        <v>1.32E-2</v>
      </c>
      <c r="D13" s="1"/>
    </row>
    <row r="14" spans="1:4" x14ac:dyDescent="0.25">
      <c r="A14" s="1"/>
      <c r="B14" s="25" t="s">
        <v>78</v>
      </c>
      <c r="C14" s="26">
        <v>3.3E-3</v>
      </c>
      <c r="D14" s="1"/>
    </row>
    <row r="15" spans="1:4" x14ac:dyDescent="0.25">
      <c r="A15" s="1"/>
      <c r="B15" s="25" t="s">
        <v>97</v>
      </c>
      <c r="C15" s="49">
        <v>3.56E-2</v>
      </c>
      <c r="D15" s="1"/>
    </row>
    <row r="16" spans="1:4" x14ac:dyDescent="0.25">
      <c r="A16" s="1"/>
      <c r="B16" s="25" t="s">
        <v>151</v>
      </c>
      <c r="C16" s="49">
        <v>8.0799999999999997E-2</v>
      </c>
      <c r="D16" s="1"/>
    </row>
    <row r="17" spans="1:4" x14ac:dyDescent="0.25">
      <c r="A17" s="1"/>
      <c r="B17" s="72"/>
      <c r="C17" s="73"/>
      <c r="D17" s="1"/>
    </row>
    <row r="18" spans="1:4" x14ac:dyDescent="0.25">
      <c r="A18" s="1"/>
      <c r="B18" s="1"/>
      <c r="C18" s="1"/>
      <c r="D18" s="1"/>
    </row>
    <row r="19" spans="1:4" x14ac:dyDescent="0.25">
      <c r="A19" s="1"/>
      <c r="B19" s="1"/>
      <c r="C19" s="1"/>
      <c r="D19" s="1"/>
    </row>
    <row r="20" spans="1:4" x14ac:dyDescent="0.25">
      <c r="A20" s="1"/>
      <c r="B20" s="72" t="s">
        <v>47</v>
      </c>
      <c r="C20" s="73"/>
      <c r="D20" s="1"/>
    </row>
    <row r="21" spans="1:4" x14ac:dyDescent="0.25">
      <c r="A21" s="1"/>
      <c r="B21" s="23" t="s">
        <v>55</v>
      </c>
      <c r="C21" s="50">
        <v>1.7000000000000001E-2</v>
      </c>
      <c r="D21" s="1"/>
    </row>
    <row r="22" spans="1:4" x14ac:dyDescent="0.25">
      <c r="A22" s="1"/>
      <c r="B22" s="129"/>
      <c r="C22" s="13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4"/>
      <c r="B50" s="44"/>
      <c r="C50" s="44"/>
      <c r="D50" s="44"/>
    </row>
    <row r="51" spans="1:4" x14ac:dyDescent="0.25">
      <c r="A51" s="44"/>
      <c r="B51" s="44"/>
      <c r="C51" s="44"/>
      <c r="D51" s="44"/>
    </row>
  </sheetData>
  <sheetProtection algorithmName="SHA-512" hashValue="GE0Z0joH9lSSYkzmq9sIuwndhTG/+Jhq15E37sf2hRTeuaVbD357yXEg6wSYokcyf4giyRMHHuoS0e5c3b7wXg==" saltValue="Zx8fmDin8QoTV50eEv2JUw=="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6"/>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3" width="9.140625" style="2" hidden="1" customWidth="1"/>
    <col min="4" max="4" width="27.140625"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130</v>
      </c>
      <c r="C3" s="92"/>
      <c r="D3" s="92"/>
      <c r="E3" s="92"/>
      <c r="F3" s="92"/>
      <c r="G3" s="1"/>
    </row>
    <row r="4" spans="1:7" ht="15" customHeight="1" x14ac:dyDescent="0.25">
      <c r="A4" s="1"/>
      <c r="B4" s="92"/>
      <c r="C4" s="92"/>
      <c r="D4" s="92"/>
      <c r="E4" s="92"/>
      <c r="F4" s="92"/>
      <c r="G4" s="1"/>
    </row>
    <row r="5" spans="1:7" ht="15" customHeight="1" x14ac:dyDescent="0.25">
      <c r="A5" s="1"/>
      <c r="B5" s="58"/>
      <c r="C5" s="58"/>
      <c r="D5" s="58"/>
      <c r="E5" s="58"/>
      <c r="F5" s="58"/>
      <c r="G5" s="1"/>
    </row>
    <row r="6" spans="1:7" ht="15" customHeight="1" x14ac:dyDescent="0.25">
      <c r="A6" s="1"/>
      <c r="B6" s="58"/>
      <c r="C6" s="58"/>
      <c r="D6" s="58"/>
      <c r="E6" s="58"/>
      <c r="F6" s="58"/>
      <c r="G6" s="1"/>
    </row>
    <row r="7" spans="1:7" x14ac:dyDescent="0.25">
      <c r="A7" s="1"/>
      <c r="B7" s="1"/>
      <c r="C7" s="1"/>
      <c r="D7" s="1"/>
      <c r="E7" s="1"/>
      <c r="F7" s="1"/>
      <c r="G7" s="1"/>
    </row>
    <row r="8" spans="1:7" x14ac:dyDescent="0.25">
      <c r="A8" s="1"/>
      <c r="B8" s="27" t="s">
        <v>12</v>
      </c>
      <c r="C8" s="27"/>
      <c r="D8" s="27"/>
      <c r="E8" s="27"/>
      <c r="F8" s="27"/>
      <c r="G8" s="1"/>
    </row>
    <row r="9" spans="1:7" x14ac:dyDescent="0.25">
      <c r="A9" s="1"/>
      <c r="B9" s="53" t="s">
        <v>89</v>
      </c>
      <c r="C9" s="53"/>
      <c r="D9" s="53"/>
      <c r="E9" s="7">
        <f>'Fane 3. Omkostninger i ØR2023'!E17</f>
        <v>16562115.156686151</v>
      </c>
      <c r="F9" s="53" t="s">
        <v>3</v>
      </c>
      <c r="G9" s="1"/>
    </row>
    <row r="10" spans="1:7" ht="17.100000000000001" customHeight="1" x14ac:dyDescent="0.25">
      <c r="A10" s="1"/>
      <c r="B10" s="24" t="s">
        <v>56</v>
      </c>
      <c r="C10" s="53"/>
      <c r="D10" s="53"/>
      <c r="E10" s="7">
        <f>'Fane 9.1. Varige tillæg'!C17+'Fane 9.1. Varige tillæg'!E17</f>
        <v>604862.1544</v>
      </c>
      <c r="F10" s="53" t="s">
        <v>3</v>
      </c>
      <c r="G10" s="1"/>
    </row>
    <row r="11" spans="1:7" ht="17.100000000000001" customHeight="1" x14ac:dyDescent="0.25">
      <c r="A11" s="1"/>
      <c r="B11" s="24" t="s">
        <v>57</v>
      </c>
      <c r="C11" s="53"/>
      <c r="D11" s="53"/>
      <c r="E11" s="8">
        <f>-('Fane 12. Bortfald'!C13+'Fane 12. Bortfald'!E13)</f>
        <v>0</v>
      </c>
      <c r="F11" s="53" t="s">
        <v>3</v>
      </c>
      <c r="G11" s="1"/>
    </row>
    <row r="12" spans="1:7" ht="17.100000000000001" customHeight="1" x14ac:dyDescent="0.25">
      <c r="A12" s="1"/>
      <c r="B12" s="24" t="s">
        <v>59</v>
      </c>
      <c r="C12" s="53"/>
      <c r="D12" s="53"/>
      <c r="E12" s="8">
        <f>'Fane 11. Tilknyttet virksomhed'!C13+'Fane 11. Tilknyttet virksomhed'!E13</f>
        <v>0</v>
      </c>
      <c r="F12" s="53" t="s">
        <v>3</v>
      </c>
      <c r="G12" s="1"/>
    </row>
    <row r="13" spans="1:7" ht="17.100000000000001" customHeight="1" x14ac:dyDescent="0.25">
      <c r="A13" s="1"/>
      <c r="B13" s="24" t="s">
        <v>18</v>
      </c>
      <c r="C13" s="53"/>
      <c r="D13" s="53"/>
      <c r="E13" s="8">
        <f>SUM(E9:E12)*'Fane 13. Nøgletal'!C16</f>
        <v>1387091.766735761</v>
      </c>
      <c r="F13" s="53" t="s">
        <v>3</v>
      </c>
      <c r="G13" s="1"/>
    </row>
    <row r="14" spans="1:7" ht="17.100000000000001" customHeight="1" x14ac:dyDescent="0.25">
      <c r="A14" s="1"/>
      <c r="B14" s="24" t="s">
        <v>47</v>
      </c>
      <c r="C14" s="53"/>
      <c r="D14" s="53"/>
      <c r="E14" s="8">
        <f>-SUM(E9,E10:E13)*'Fane 13. Nøgletal'!C21</f>
        <v>-315419.17432297254</v>
      </c>
      <c r="F14" s="53" t="s">
        <v>3</v>
      </c>
      <c r="G14" s="51"/>
    </row>
    <row r="15" spans="1:7" ht="15" customHeight="1" x14ac:dyDescent="0.25">
      <c r="A15" s="1"/>
      <c r="B15" s="66" t="s">
        <v>20</v>
      </c>
      <c r="C15" s="32"/>
      <c r="D15" s="32"/>
      <c r="E15" s="9">
        <f>SUM(E9,E10:E14)</f>
        <v>18238649.90349894</v>
      </c>
      <c r="F15" s="28" t="s">
        <v>3</v>
      </c>
      <c r="G15" s="1"/>
    </row>
    <row r="16" spans="1:7" ht="15" customHeight="1" x14ac:dyDescent="0.25">
      <c r="A16" s="1"/>
      <c r="B16" s="27" t="s">
        <v>11</v>
      </c>
      <c r="C16" s="27"/>
      <c r="D16" s="27"/>
      <c r="E16" s="27"/>
      <c r="F16" s="27"/>
      <c r="G16" s="1"/>
    </row>
    <row r="17" spans="1:7" ht="15" customHeight="1" x14ac:dyDescent="0.25">
      <c r="A17" s="1"/>
      <c r="B17" s="28" t="s">
        <v>11</v>
      </c>
      <c r="C17" s="28"/>
      <c r="D17" s="28"/>
      <c r="E17" s="9">
        <f>'Fane 4. Ikke-påvirkelige omk.'!C20+'Fane 4. Ikke-påvirkelige omk.'!C24+'Fane 4. Ikke-påvirkelige omk.'!C32</f>
        <v>210677.84086719999</v>
      </c>
      <c r="F17" s="28" t="s">
        <v>3</v>
      </c>
      <c r="G17" s="1"/>
    </row>
    <row r="18" spans="1:7" ht="15" customHeight="1" x14ac:dyDescent="0.25">
      <c r="A18" s="1"/>
      <c r="B18" s="27" t="s">
        <v>38</v>
      </c>
      <c r="C18" s="27"/>
      <c r="D18" s="27"/>
      <c r="E18" s="27"/>
      <c r="F18" s="27"/>
      <c r="G18" s="1"/>
    </row>
    <row r="19" spans="1:7" ht="15" customHeight="1" x14ac:dyDescent="0.25">
      <c r="A19" s="1"/>
      <c r="B19" s="66" t="s">
        <v>38</v>
      </c>
      <c r="C19" s="32"/>
      <c r="D19" s="32"/>
      <c r="E19" s="9">
        <f>'Fane 10. Periodevise driftsomk.'!E12</f>
        <v>0</v>
      </c>
      <c r="F19" s="28" t="s">
        <v>3</v>
      </c>
      <c r="G19" s="1"/>
    </row>
    <row r="20" spans="1:7" ht="15" customHeight="1" x14ac:dyDescent="0.25">
      <c r="A20" s="1"/>
      <c r="B20" s="27" t="s">
        <v>37</v>
      </c>
      <c r="C20" s="27"/>
      <c r="D20" s="27"/>
      <c r="E20" s="27"/>
      <c r="F20" s="27"/>
      <c r="G20" s="1"/>
    </row>
    <row r="21" spans="1:7" ht="15" customHeight="1" x14ac:dyDescent="0.25">
      <c r="A21" s="1"/>
      <c r="B21" s="24" t="s">
        <v>33</v>
      </c>
      <c r="C21" s="53"/>
      <c r="D21" s="53"/>
      <c r="E21" s="8">
        <f>'Fane 9.2. Engangstillæg'!C14</f>
        <v>93738.818974080001</v>
      </c>
      <c r="F21" s="53" t="s">
        <v>3</v>
      </c>
      <c r="G21" s="1"/>
    </row>
    <row r="22" spans="1:7" x14ac:dyDescent="0.25">
      <c r="A22" s="1"/>
      <c r="B22" s="24" t="s">
        <v>34</v>
      </c>
      <c r="C22" s="53"/>
      <c r="D22" s="53"/>
      <c r="E22" s="8">
        <f>'Fane 9.2. Engangstillæg'!E14</f>
        <v>0</v>
      </c>
      <c r="F22" s="53" t="s">
        <v>3</v>
      </c>
      <c r="G22" s="1"/>
    </row>
    <row r="23" spans="1:7" x14ac:dyDescent="0.25">
      <c r="A23" s="1"/>
      <c r="B23" s="24" t="s">
        <v>101</v>
      </c>
      <c r="C23" s="53"/>
      <c r="D23" s="53"/>
      <c r="E23" s="8">
        <f>-SUM(E21:E22)*'Fane 13. Nøgletal'!C21</f>
        <v>-1593.5599225593601</v>
      </c>
      <c r="F23" s="53" t="s">
        <v>3</v>
      </c>
      <c r="G23" s="1"/>
    </row>
    <row r="24" spans="1:7" ht="15" customHeight="1" x14ac:dyDescent="0.25">
      <c r="A24" s="1"/>
      <c r="B24" s="66" t="s">
        <v>39</v>
      </c>
      <c r="C24" s="32"/>
      <c r="D24" s="32"/>
      <c r="E24" s="9">
        <f>SUM(E21:E23)</f>
        <v>92145.259051520639</v>
      </c>
      <c r="F24" s="28" t="s">
        <v>3</v>
      </c>
      <c r="G24" s="1"/>
    </row>
    <row r="25" spans="1:7" x14ac:dyDescent="0.25">
      <c r="A25" s="1"/>
      <c r="B25" s="27" t="s">
        <v>68</v>
      </c>
      <c r="C25" s="22"/>
      <c r="D25" s="73"/>
      <c r="E25" s="27"/>
      <c r="F25" s="27"/>
      <c r="G25" s="1"/>
    </row>
    <row r="26" spans="1:7" x14ac:dyDescent="0.25">
      <c r="A26" s="1"/>
      <c r="B26" s="66" t="s">
        <v>67</v>
      </c>
      <c r="C26" s="32"/>
      <c r="D26" s="32"/>
      <c r="E26" s="9">
        <f>'Fane 5. Kontrol af ØR2022'!E33</f>
        <v>0</v>
      </c>
      <c r="F26" s="28" t="s">
        <v>3</v>
      </c>
      <c r="G26" s="1"/>
    </row>
    <row r="27" spans="1:7" x14ac:dyDescent="0.25">
      <c r="A27" s="1"/>
      <c r="B27" s="27" t="s">
        <v>70</v>
      </c>
      <c r="C27" s="27"/>
      <c r="D27" s="27"/>
      <c r="E27" s="27"/>
      <c r="F27" s="27"/>
      <c r="G27" s="1"/>
    </row>
    <row r="28" spans="1:7" x14ac:dyDescent="0.25">
      <c r="A28" s="1"/>
      <c r="B28" s="28" t="s">
        <v>88</v>
      </c>
      <c r="C28" s="28"/>
      <c r="D28" s="28"/>
      <c r="E28" s="9">
        <f>'Fane 6. Korrektion af ØR2022'!E17</f>
        <v>433755.94327718334</v>
      </c>
      <c r="F28" s="28" t="s">
        <v>3</v>
      </c>
      <c r="G28" s="1"/>
    </row>
    <row r="29" spans="1:7" x14ac:dyDescent="0.25">
      <c r="A29" s="1"/>
      <c r="B29" s="27" t="s">
        <v>82</v>
      </c>
      <c r="C29" s="27" t="s">
        <v>82</v>
      </c>
      <c r="D29" s="27" t="s">
        <v>82</v>
      </c>
      <c r="E29" s="27"/>
      <c r="F29" s="27"/>
      <c r="G29" s="1"/>
    </row>
    <row r="30" spans="1:7" x14ac:dyDescent="0.25">
      <c r="A30" s="1"/>
      <c r="B30" s="66" t="s">
        <v>83</v>
      </c>
      <c r="C30" s="9"/>
      <c r="D30" s="28" t="s">
        <v>3</v>
      </c>
      <c r="E30" s="9">
        <f>'Fane 7. Skattesagen'!G13</f>
        <v>0</v>
      </c>
      <c r="F30" s="28" t="s">
        <v>3</v>
      </c>
      <c r="G30" s="1"/>
    </row>
    <row r="31" spans="1:7" x14ac:dyDescent="0.25">
      <c r="A31" s="1"/>
      <c r="B31" s="27" t="s">
        <v>60</v>
      </c>
      <c r="C31" s="27"/>
      <c r="D31" s="27"/>
      <c r="E31" s="10">
        <f>SUM(E15,E17,E19,E24,E26,E28,E30)</f>
        <v>18975228.946694843</v>
      </c>
      <c r="F31" s="11"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CxaXcO6kaEc4+3eGvC4N+DBmtJIk2xydL+5yNNZtBGAh/4QEaKZ8A19Eivv1jc2eIjUhKeNh/X61fTdchJYUVQ==" saltValue="6sc268TwPcCFzPgf5L7BTw=="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131</v>
      </c>
      <c r="C3" s="92"/>
      <c r="D3" s="92"/>
      <c r="E3" s="92"/>
      <c r="F3" s="92"/>
      <c r="G3" s="1"/>
    </row>
    <row r="4" spans="1:7" ht="15" customHeight="1" x14ac:dyDescent="0.25">
      <c r="A4" s="1"/>
      <c r="B4" s="92"/>
      <c r="C4" s="92"/>
      <c r="D4" s="92"/>
      <c r="E4" s="92"/>
      <c r="F4" s="92"/>
      <c r="G4" s="1"/>
    </row>
    <row r="5" spans="1:7" x14ac:dyDescent="0.25">
      <c r="A5" s="1"/>
      <c r="B5" s="93"/>
      <c r="C5" s="93"/>
      <c r="D5" s="93"/>
      <c r="E5" s="93"/>
      <c r="F5" s="93"/>
      <c r="G5" s="1"/>
    </row>
    <row r="6" spans="1:7" x14ac:dyDescent="0.25">
      <c r="A6" s="1"/>
      <c r="B6" s="1"/>
      <c r="C6" s="1"/>
      <c r="D6" s="1"/>
      <c r="E6" s="1"/>
      <c r="F6" s="1"/>
      <c r="G6" s="1"/>
    </row>
    <row r="7" spans="1:7" x14ac:dyDescent="0.25">
      <c r="A7" s="1"/>
      <c r="B7" s="1"/>
      <c r="C7" s="1"/>
      <c r="D7" s="1"/>
      <c r="E7" s="1"/>
      <c r="F7" s="1"/>
      <c r="G7" s="1"/>
    </row>
    <row r="8" spans="1:7" x14ac:dyDescent="0.25">
      <c r="A8" s="1"/>
      <c r="B8" s="27" t="s">
        <v>12</v>
      </c>
      <c r="C8" s="27"/>
      <c r="D8" s="27"/>
      <c r="E8" s="27"/>
      <c r="F8" s="27"/>
      <c r="G8" s="1"/>
    </row>
    <row r="9" spans="1:7" ht="15" customHeight="1" x14ac:dyDescent="0.25">
      <c r="A9" s="1"/>
      <c r="B9" s="53" t="s">
        <v>72</v>
      </c>
      <c r="C9" s="53"/>
      <c r="D9" s="53"/>
      <c r="E9" s="7">
        <f>'Fane 2.1. Økonomisk ramme 2024'!E15</f>
        <v>18238649.90349894</v>
      </c>
      <c r="F9" s="53" t="s">
        <v>3</v>
      </c>
      <c r="G9" s="1"/>
    </row>
    <row r="10" spans="1:7" ht="15" customHeight="1" x14ac:dyDescent="0.25">
      <c r="A10" s="1"/>
      <c r="B10" s="52" t="s">
        <v>18</v>
      </c>
      <c r="C10" s="53"/>
      <c r="D10" s="53"/>
      <c r="E10" s="8">
        <f>SUM(E9:E9)*'Fane 13. Nøgletal'!C16</f>
        <v>1473682.9122027142</v>
      </c>
      <c r="F10" s="53" t="s">
        <v>3</v>
      </c>
      <c r="G10" s="1"/>
    </row>
    <row r="11" spans="1:7" ht="15" customHeight="1" x14ac:dyDescent="0.25">
      <c r="A11" s="1"/>
      <c r="B11" s="52" t="s">
        <v>47</v>
      </c>
      <c r="C11" s="53"/>
      <c r="D11" s="53"/>
      <c r="E11" s="8">
        <f>-SUM(E9,E10)*'Fane 13. Nøgletal'!C21</f>
        <v>-335109.6578669282</v>
      </c>
      <c r="F11" s="53" t="s">
        <v>3</v>
      </c>
      <c r="G11" s="1"/>
    </row>
    <row r="12" spans="1:7" ht="15" customHeight="1" x14ac:dyDescent="0.25">
      <c r="A12" s="1"/>
      <c r="B12" s="32" t="s">
        <v>20</v>
      </c>
      <c r="C12" s="32"/>
      <c r="D12" s="32"/>
      <c r="E12" s="9">
        <f>SUM(E9:E11)</f>
        <v>19377223.157834727</v>
      </c>
      <c r="F12" s="28" t="s">
        <v>3</v>
      </c>
      <c r="G12" s="1"/>
    </row>
    <row r="13" spans="1:7" x14ac:dyDescent="0.25">
      <c r="A13" s="1"/>
      <c r="B13" s="27" t="s">
        <v>11</v>
      </c>
      <c r="C13" s="27"/>
      <c r="D13" s="27"/>
      <c r="E13" s="27"/>
      <c r="F13" s="27"/>
      <c r="G13" s="1"/>
    </row>
    <row r="14" spans="1:7" ht="15" customHeight="1" x14ac:dyDescent="0.25">
      <c r="A14" s="1"/>
      <c r="B14" s="28" t="s">
        <v>11</v>
      </c>
      <c r="C14" s="28"/>
      <c r="D14" s="28"/>
      <c r="E14" s="9">
        <f>'Fane 4. Ikke-påvirkelige omk.'!C20*(1+'Fane 13. Nøgletal'!C16)+'Fane 4. Ikke-påvirkelige omk.'!C25+'Fane 4. Ikke-påvirkelige omk.'!C33</f>
        <v>227700.61040926975</v>
      </c>
      <c r="F14" s="28" t="s">
        <v>3</v>
      </c>
      <c r="G14" s="1"/>
    </row>
    <row r="15" spans="1:7" ht="15" customHeight="1" x14ac:dyDescent="0.25">
      <c r="A15" s="1"/>
      <c r="B15" s="27" t="s">
        <v>38</v>
      </c>
      <c r="C15" s="27"/>
      <c r="D15" s="27"/>
      <c r="E15" s="27"/>
      <c r="F15" s="27"/>
      <c r="G15" s="1"/>
    </row>
    <row r="16" spans="1:7" ht="15" customHeight="1" x14ac:dyDescent="0.25">
      <c r="A16" s="1"/>
      <c r="B16" s="66" t="s">
        <v>38</v>
      </c>
      <c r="C16" s="32"/>
      <c r="D16" s="32"/>
      <c r="E16" s="9">
        <f>'Fane 10. Periodevise driftsomk.'!E17</f>
        <v>0</v>
      </c>
      <c r="F16" s="28" t="s">
        <v>3</v>
      </c>
      <c r="G16" s="1"/>
    </row>
    <row r="17" spans="1:7" x14ac:dyDescent="0.25">
      <c r="A17" s="1"/>
      <c r="B17" s="27" t="s">
        <v>68</v>
      </c>
      <c r="C17" s="22"/>
      <c r="D17" s="73"/>
      <c r="E17" s="27"/>
      <c r="F17" s="27"/>
      <c r="G17" s="1"/>
    </row>
    <row r="18" spans="1:7" x14ac:dyDescent="0.25">
      <c r="A18" s="1"/>
      <c r="B18" s="66" t="s">
        <v>67</v>
      </c>
      <c r="C18" s="32"/>
      <c r="D18" s="32"/>
      <c r="E18" s="9">
        <f>'Fane 5. Kontrol af ØR2022'!E33</f>
        <v>0</v>
      </c>
      <c r="F18" s="28" t="s">
        <v>3</v>
      </c>
      <c r="G18" s="1"/>
    </row>
    <row r="19" spans="1:7" x14ac:dyDescent="0.25">
      <c r="A19" s="1"/>
      <c r="B19" s="27" t="s">
        <v>82</v>
      </c>
      <c r="C19" s="27" t="s">
        <v>82</v>
      </c>
      <c r="D19" s="27" t="s">
        <v>82</v>
      </c>
      <c r="E19" s="27"/>
      <c r="F19" s="27"/>
      <c r="G19" s="1"/>
    </row>
    <row r="20" spans="1:7" x14ac:dyDescent="0.25">
      <c r="A20" s="1"/>
      <c r="B20" s="66" t="s">
        <v>83</v>
      </c>
      <c r="C20" s="9"/>
      <c r="D20" s="28" t="s">
        <v>3</v>
      </c>
      <c r="E20" s="9">
        <f>'Fane 7. Skattesagen'!G14</f>
        <v>0</v>
      </c>
      <c r="F20" s="28" t="s">
        <v>3</v>
      </c>
      <c r="G20" s="1"/>
    </row>
    <row r="21" spans="1:7" x14ac:dyDescent="0.25">
      <c r="A21" s="1"/>
      <c r="B21" s="27" t="s">
        <v>73</v>
      </c>
      <c r="C21" s="27"/>
      <c r="D21" s="27"/>
      <c r="E21" s="10">
        <f>SUM(E12,E14,E16,E18,E20)</f>
        <v>19604923.768243998</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NhFsj0smPzv2DPkg6Ppj1HWobPru2aV8M4uNtvrFIVWavxjCrAg6bUtFHkwQvDlcRFa9N6TWVgMSKf4N4m9cQ==" saltValue="97h+dn3ysKehlItzKPoiYA=="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132</v>
      </c>
      <c r="C3" s="92"/>
      <c r="D3" s="92"/>
      <c r="E3" s="92"/>
      <c r="F3" s="92"/>
      <c r="G3" s="1"/>
    </row>
    <row r="4" spans="1:7" ht="15" customHeight="1" x14ac:dyDescent="0.25">
      <c r="A4" s="1"/>
      <c r="B4" s="92"/>
      <c r="C4" s="92"/>
      <c r="D4" s="92"/>
      <c r="E4" s="92"/>
      <c r="F4" s="92"/>
      <c r="G4" s="1"/>
    </row>
    <row r="5" spans="1:7" x14ac:dyDescent="0.25">
      <c r="A5" s="1"/>
      <c r="B5" s="93" t="s">
        <v>81</v>
      </c>
      <c r="C5" s="93"/>
      <c r="D5" s="93"/>
      <c r="E5" s="93"/>
      <c r="F5" s="93"/>
      <c r="G5" s="1"/>
    </row>
    <row r="6" spans="1:7" x14ac:dyDescent="0.25">
      <c r="A6" s="1"/>
      <c r="B6" s="1"/>
      <c r="C6" s="1"/>
      <c r="D6" s="1"/>
      <c r="E6" s="1"/>
      <c r="F6" s="1"/>
      <c r="G6" s="1"/>
    </row>
    <row r="7" spans="1:7" x14ac:dyDescent="0.25">
      <c r="A7" s="1"/>
      <c r="B7" s="27" t="s">
        <v>12</v>
      </c>
      <c r="C7" s="27"/>
      <c r="D7" s="27"/>
      <c r="E7" s="27"/>
      <c r="F7" s="27"/>
      <c r="G7" s="1"/>
    </row>
    <row r="8" spans="1:7" ht="15" customHeight="1" x14ac:dyDescent="0.25">
      <c r="A8" s="1"/>
      <c r="B8" s="53" t="s">
        <v>90</v>
      </c>
      <c r="C8" s="53"/>
      <c r="D8" s="53"/>
      <c r="E8" s="7">
        <f>'Fane 2.2. Økonomisk ramme 2025'!E12</f>
        <v>19377223.157834727</v>
      </c>
      <c r="F8" s="53" t="s">
        <v>3</v>
      </c>
      <c r="G8" s="1"/>
    </row>
    <row r="9" spans="1:7" ht="15" customHeight="1" x14ac:dyDescent="0.25">
      <c r="A9" s="1"/>
      <c r="B9" s="52" t="s">
        <v>18</v>
      </c>
      <c r="C9" s="53"/>
      <c r="D9" s="53"/>
      <c r="E9" s="8">
        <f>SUM(E8:E8)*('Fane 13. Nøgletal'!C16)</f>
        <v>1565679.6311530459</v>
      </c>
      <c r="F9" s="53" t="s">
        <v>3</v>
      </c>
      <c r="G9" s="1"/>
    </row>
    <row r="10" spans="1:7" x14ac:dyDescent="0.25">
      <c r="A10" s="1"/>
      <c r="B10" s="52" t="s">
        <v>47</v>
      </c>
      <c r="C10" s="53"/>
      <c r="D10" s="53"/>
      <c r="E10" s="8">
        <f>-SUM(E8:E9)*'Fane 13. Nøgletal'!C21</f>
        <v>-356029.34741279221</v>
      </c>
      <c r="F10" s="53" t="s">
        <v>3</v>
      </c>
      <c r="G10" s="1"/>
    </row>
    <row r="11" spans="1:7" x14ac:dyDescent="0.25">
      <c r="A11" s="1"/>
      <c r="B11" s="32" t="s">
        <v>20</v>
      </c>
      <c r="C11" s="32"/>
      <c r="D11" s="32"/>
      <c r="E11" s="9">
        <f>SUM(E8:E10)</f>
        <v>20586873.441574983</v>
      </c>
      <c r="F11" s="28" t="s">
        <v>3</v>
      </c>
      <c r="G11" s="1"/>
    </row>
    <row r="12" spans="1:7" ht="15" customHeight="1" x14ac:dyDescent="0.25">
      <c r="A12" s="1"/>
      <c r="B12" s="27" t="s">
        <v>11</v>
      </c>
      <c r="C12" s="27"/>
      <c r="D12" s="27"/>
      <c r="E12" s="27"/>
      <c r="F12" s="27"/>
      <c r="G12" s="1"/>
    </row>
    <row r="13" spans="1:7" ht="15" customHeight="1" x14ac:dyDescent="0.25">
      <c r="A13" s="1"/>
      <c r="B13" s="28" t="s">
        <v>11</v>
      </c>
      <c r="C13" s="28"/>
      <c r="D13" s="28"/>
      <c r="E13" s="9">
        <f>'Fane 4. Ikke-påvirkelige omk.'!C20*(1+'Fane 13. Nøgletal'!C16)^2+'Fane 4. Ikke-påvirkelige omk.'!C26+'Fane 4. Ikke-påvirkelige omk.'!C34</f>
        <v>246098.81973033873</v>
      </c>
      <c r="F13" s="28" t="s">
        <v>3</v>
      </c>
      <c r="G13" s="1"/>
    </row>
    <row r="14" spans="1:7" ht="15" customHeight="1" x14ac:dyDescent="0.25">
      <c r="A14" s="1"/>
      <c r="B14" s="27" t="s">
        <v>38</v>
      </c>
      <c r="C14" s="27"/>
      <c r="D14" s="27"/>
      <c r="E14" s="27"/>
      <c r="F14" s="27"/>
      <c r="G14" s="1"/>
    </row>
    <row r="15" spans="1:7" ht="15" customHeight="1" x14ac:dyDescent="0.25">
      <c r="A15" s="1"/>
      <c r="B15" s="66" t="s">
        <v>38</v>
      </c>
      <c r="C15" s="32"/>
      <c r="D15" s="32"/>
      <c r="E15" s="9">
        <f>'Fane 10. Periodevise driftsomk.'!E22</f>
        <v>0</v>
      </c>
      <c r="F15" s="28" t="s">
        <v>3</v>
      </c>
      <c r="G15" s="1"/>
    </row>
    <row r="16" spans="1:7" x14ac:dyDescent="0.25">
      <c r="A16" s="1"/>
      <c r="B16" s="27" t="s">
        <v>68</v>
      </c>
      <c r="C16" s="27"/>
      <c r="D16" s="27"/>
      <c r="E16" s="27"/>
      <c r="F16" s="27"/>
      <c r="G16" s="1"/>
    </row>
    <row r="17" spans="1:7" x14ac:dyDescent="0.25">
      <c r="A17" s="1"/>
      <c r="B17" s="28" t="s">
        <v>67</v>
      </c>
      <c r="C17" s="28"/>
      <c r="D17" s="28"/>
      <c r="E17" s="9">
        <v>0</v>
      </c>
      <c r="F17" s="28" t="s">
        <v>3</v>
      </c>
      <c r="G17" s="1"/>
    </row>
    <row r="18" spans="1:7" x14ac:dyDescent="0.25">
      <c r="A18" s="1"/>
      <c r="B18" s="27" t="s">
        <v>82</v>
      </c>
      <c r="C18" s="27" t="s">
        <v>82</v>
      </c>
      <c r="D18" s="27" t="s">
        <v>82</v>
      </c>
      <c r="E18" s="27"/>
      <c r="F18" s="27"/>
      <c r="G18" s="1"/>
    </row>
    <row r="19" spans="1:7" x14ac:dyDescent="0.25">
      <c r="A19" s="1"/>
      <c r="B19" s="66" t="s">
        <v>83</v>
      </c>
      <c r="C19" s="9"/>
      <c r="D19" s="28" t="s">
        <v>3</v>
      </c>
      <c r="E19" s="9">
        <f>'Fane 7. Skattesagen'!G15</f>
        <v>0</v>
      </c>
      <c r="F19" s="28" t="s">
        <v>3</v>
      </c>
      <c r="G19" s="1"/>
    </row>
    <row r="20" spans="1:7" x14ac:dyDescent="0.25">
      <c r="A20" s="1"/>
      <c r="B20" s="27" t="s">
        <v>91</v>
      </c>
      <c r="C20" s="27"/>
      <c r="D20" s="27"/>
      <c r="E20" s="10">
        <f>SUM(E11,E13,E15,E17,E19)</f>
        <v>20832972.261305321</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jBG8T9iwve00VD4lNH7YynZklhpGjEudlxe05+YEu4yonNflouLc7uwjCnSS0ICCujl32A7VKqqxq+CrggIlg==" saltValue="ItCv2BwgiaJzxaEHZtkoHA=="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133</v>
      </c>
      <c r="C3" s="92"/>
      <c r="D3" s="92"/>
      <c r="E3" s="92"/>
      <c r="F3" s="92"/>
      <c r="G3" s="1"/>
    </row>
    <row r="4" spans="1:7" ht="15" customHeight="1" x14ac:dyDescent="0.25">
      <c r="A4" s="1"/>
      <c r="B4" s="92"/>
      <c r="C4" s="92"/>
      <c r="D4" s="92"/>
      <c r="E4" s="92"/>
      <c r="F4" s="92"/>
      <c r="G4" s="1"/>
    </row>
    <row r="5" spans="1:7" x14ac:dyDescent="0.25">
      <c r="A5" s="1"/>
      <c r="B5" s="93" t="s">
        <v>21</v>
      </c>
      <c r="C5" s="93"/>
      <c r="D5" s="93"/>
      <c r="E5" s="93"/>
      <c r="F5" s="93"/>
      <c r="G5" s="1"/>
    </row>
    <row r="6" spans="1:7" x14ac:dyDescent="0.25">
      <c r="A6" s="1"/>
      <c r="B6" s="1"/>
      <c r="C6" s="1"/>
      <c r="D6" s="1"/>
      <c r="E6" s="1"/>
      <c r="F6" s="1"/>
      <c r="G6" s="1"/>
    </row>
    <row r="7" spans="1:7" x14ac:dyDescent="0.25">
      <c r="A7" s="1"/>
      <c r="B7" s="27" t="s">
        <v>12</v>
      </c>
      <c r="C7" s="27"/>
      <c r="D7" s="27"/>
      <c r="E7" s="27"/>
      <c r="F7" s="27"/>
      <c r="G7" s="1"/>
    </row>
    <row r="8" spans="1:7" ht="15" customHeight="1" x14ac:dyDescent="0.25">
      <c r="A8" s="1"/>
      <c r="B8" s="53" t="s">
        <v>135</v>
      </c>
      <c r="C8" s="53"/>
      <c r="D8" s="53"/>
      <c r="E8" s="7">
        <f>'Fane 2.3. Økonomisk ramme 2026'!E11</f>
        <v>20586873.441574983</v>
      </c>
      <c r="F8" s="53" t="s">
        <v>3</v>
      </c>
      <c r="G8" s="1"/>
    </row>
    <row r="9" spans="1:7" ht="15" customHeight="1" x14ac:dyDescent="0.25">
      <c r="A9" s="1"/>
      <c r="B9" s="52" t="s">
        <v>18</v>
      </c>
      <c r="C9" s="53"/>
      <c r="D9" s="53"/>
      <c r="E9" s="8">
        <f>SUM(E8:E8)*'Fane 13. Nøgletal'!C16</f>
        <v>1663419.3740792586</v>
      </c>
      <c r="F9" s="53" t="s">
        <v>3</v>
      </c>
      <c r="G9" s="1"/>
    </row>
    <row r="10" spans="1:7" ht="15" customHeight="1" x14ac:dyDescent="0.25">
      <c r="A10" s="1"/>
      <c r="B10" s="52" t="s">
        <v>47</v>
      </c>
      <c r="C10" s="53"/>
      <c r="D10" s="53"/>
      <c r="E10" s="8">
        <f>-SUM(E8:E9)*'Fane 13. Nøgletal'!C21</f>
        <v>-378254.97786612209</v>
      </c>
      <c r="F10" s="53" t="s">
        <v>3</v>
      </c>
      <c r="G10" s="1"/>
    </row>
    <row r="11" spans="1:7" x14ac:dyDescent="0.25">
      <c r="A11" s="1"/>
      <c r="B11" s="32" t="s">
        <v>20</v>
      </c>
      <c r="C11" s="32"/>
      <c r="D11" s="32"/>
      <c r="E11" s="9">
        <f>SUM(E8:E10)</f>
        <v>21872037.83778812</v>
      </c>
      <c r="F11" s="28" t="s">
        <v>3</v>
      </c>
      <c r="G11" s="1"/>
    </row>
    <row r="12" spans="1:7" x14ac:dyDescent="0.25">
      <c r="A12" s="1"/>
      <c r="B12" s="27" t="s">
        <v>11</v>
      </c>
      <c r="C12" s="27"/>
      <c r="D12" s="27"/>
      <c r="E12" s="27"/>
      <c r="F12" s="27"/>
      <c r="G12" s="1"/>
    </row>
    <row r="13" spans="1:7" ht="15" customHeight="1" x14ac:dyDescent="0.25">
      <c r="A13" s="1"/>
      <c r="B13" s="28" t="s">
        <v>11</v>
      </c>
      <c r="C13" s="28"/>
      <c r="D13" s="28"/>
      <c r="E13" s="9">
        <f>'Fane 4. Ikke-påvirkelige omk.'!C20*(1+'Fane 13. Nøgletal'!C16)^3+'Fane 4. Ikke-påvirkelige omk.'!C27+'Fane 4. Ikke-påvirkelige omk.'!C35</f>
        <v>265983.60436455009</v>
      </c>
      <c r="F13" s="28" t="s">
        <v>3</v>
      </c>
      <c r="G13" s="1"/>
    </row>
    <row r="14" spans="1:7" ht="15" customHeight="1" x14ac:dyDescent="0.25">
      <c r="A14" s="1"/>
      <c r="B14" s="27" t="s">
        <v>38</v>
      </c>
      <c r="C14" s="27"/>
      <c r="D14" s="27"/>
      <c r="E14" s="27"/>
      <c r="F14" s="27"/>
      <c r="G14" s="1"/>
    </row>
    <row r="15" spans="1:7" ht="15" customHeight="1" x14ac:dyDescent="0.25">
      <c r="A15" s="1"/>
      <c r="B15" s="66" t="s">
        <v>38</v>
      </c>
      <c r="C15" s="32"/>
      <c r="D15" s="32"/>
      <c r="E15" s="9">
        <f>'Fane 10. Periodevise driftsomk.'!E27</f>
        <v>0</v>
      </c>
      <c r="F15" s="28" t="s">
        <v>3</v>
      </c>
      <c r="G15" s="1"/>
    </row>
    <row r="16" spans="1:7" x14ac:dyDescent="0.25">
      <c r="A16" s="1"/>
      <c r="B16" s="27" t="s">
        <v>68</v>
      </c>
      <c r="C16" s="27"/>
      <c r="D16" s="27"/>
      <c r="E16" s="27"/>
      <c r="F16" s="27"/>
      <c r="G16" s="1"/>
    </row>
    <row r="17" spans="1:7" x14ac:dyDescent="0.25">
      <c r="A17" s="1"/>
      <c r="B17" s="28" t="s">
        <v>67</v>
      </c>
      <c r="C17" s="28"/>
      <c r="D17" s="28"/>
      <c r="E17" s="9">
        <v>0</v>
      </c>
      <c r="F17" s="28" t="s">
        <v>3</v>
      </c>
      <c r="G17" s="1"/>
    </row>
    <row r="18" spans="1:7" ht="15" customHeight="1" x14ac:dyDescent="0.25">
      <c r="A18" s="1"/>
      <c r="B18" s="27" t="s">
        <v>82</v>
      </c>
      <c r="C18" s="27" t="s">
        <v>82</v>
      </c>
      <c r="D18" s="27" t="s">
        <v>82</v>
      </c>
      <c r="E18" s="27"/>
      <c r="F18" s="27"/>
      <c r="G18" s="1"/>
    </row>
    <row r="19" spans="1:7" ht="15" customHeight="1" x14ac:dyDescent="0.25">
      <c r="A19" s="1"/>
      <c r="B19" s="66" t="s">
        <v>83</v>
      </c>
      <c r="C19" s="9"/>
      <c r="D19" s="28" t="s">
        <v>3</v>
      </c>
      <c r="E19" s="9">
        <f>'Fane 7. Skattesagen'!G16</f>
        <v>0</v>
      </c>
      <c r="F19" s="28" t="s">
        <v>3</v>
      </c>
      <c r="G19" s="1"/>
    </row>
    <row r="20" spans="1:7" x14ac:dyDescent="0.25">
      <c r="A20" s="1"/>
      <c r="B20" s="27" t="s">
        <v>134</v>
      </c>
      <c r="C20" s="27"/>
      <c r="D20" s="27"/>
      <c r="E20" s="10">
        <f>SUM(E11,E13,E15,E17,E19)</f>
        <v>22138021.442152672</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2c0YtKfM6U1Lg/aqscPKz7+r9ZWI5Z2rDIguvg+UDA8Q1PHzBK7wpRJiWd9a8jVOjYcHC06WgSaK4BXp14nHg==" saltValue="8eO6EHV5BMRdrNrPkMU/Gw=="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88" zoomScaleNormal="100" zoomScalePageLayoutView="88" workbookViewId="0"/>
  </sheetViews>
  <sheetFormatPr defaultColWidth="9" defaultRowHeight="15" x14ac:dyDescent="0.25"/>
  <cols>
    <col min="1" max="1" width="5.140625" style="2" customWidth="1"/>
    <col min="2" max="2" width="56.28515625" style="2" customWidth="1"/>
    <col min="3" max="4" width="0"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5" t="s">
        <v>137</v>
      </c>
      <c r="C3" s="95"/>
      <c r="D3" s="95"/>
      <c r="E3" s="95"/>
      <c r="F3" s="95"/>
      <c r="G3" s="1"/>
    </row>
    <row r="4" spans="1:7" x14ac:dyDescent="0.25">
      <c r="A4" s="1"/>
      <c r="B4" s="95"/>
      <c r="C4" s="95"/>
      <c r="D4" s="95"/>
      <c r="E4" s="95"/>
      <c r="F4" s="95"/>
      <c r="G4" s="1"/>
    </row>
    <row r="5" spans="1:7" ht="21" x14ac:dyDescent="0.25">
      <c r="A5" s="1"/>
      <c r="B5" s="58"/>
      <c r="C5" s="58"/>
      <c r="D5" s="58"/>
      <c r="E5" s="58"/>
      <c r="F5" s="58"/>
      <c r="G5" s="1"/>
    </row>
    <row r="6" spans="1:7" ht="21" x14ac:dyDescent="0.25">
      <c r="A6" s="1"/>
      <c r="B6" s="58"/>
      <c r="C6" s="58"/>
      <c r="D6" s="58"/>
      <c r="E6" s="58"/>
      <c r="F6" s="58"/>
      <c r="G6" s="1"/>
    </row>
    <row r="7" spans="1:7" x14ac:dyDescent="0.25">
      <c r="A7" s="1"/>
      <c r="B7" s="1"/>
      <c r="C7" s="1"/>
      <c r="D7" s="1"/>
      <c r="E7" s="1"/>
      <c r="F7" s="1"/>
      <c r="G7" s="1"/>
    </row>
    <row r="8" spans="1:7" x14ac:dyDescent="0.25">
      <c r="A8" s="1"/>
      <c r="B8" s="27" t="s">
        <v>136</v>
      </c>
      <c r="C8" s="27"/>
      <c r="D8" s="27"/>
      <c r="E8" s="27"/>
      <c r="F8" s="27"/>
      <c r="G8" s="1"/>
    </row>
    <row r="9" spans="1:7" x14ac:dyDescent="0.25">
      <c r="A9" s="1"/>
      <c r="B9" s="53" t="s">
        <v>71</v>
      </c>
      <c r="C9" s="53"/>
      <c r="D9" s="53"/>
      <c r="E9" s="7">
        <v>16089669.614584118</v>
      </c>
      <c r="F9" s="53" t="s">
        <v>3</v>
      </c>
      <c r="G9" s="1"/>
    </row>
    <row r="10" spans="1:7" x14ac:dyDescent="0.25">
      <c r="A10" s="1"/>
      <c r="B10" s="52" t="s">
        <v>100</v>
      </c>
      <c r="C10" s="53"/>
      <c r="D10" s="53"/>
      <c r="E10" s="7">
        <v>481235.44249941356</v>
      </c>
      <c r="F10" s="53" t="s">
        <v>3</v>
      </c>
      <c r="G10" s="1"/>
    </row>
    <row r="11" spans="1:7" x14ac:dyDescent="0.25">
      <c r="A11" s="1"/>
      <c r="B11" s="54" t="s">
        <v>79</v>
      </c>
      <c r="C11" s="53"/>
      <c r="D11" s="53"/>
      <c r="E11" s="7">
        <v>380067.36521907191</v>
      </c>
      <c r="F11" s="53" t="s">
        <v>3</v>
      </c>
      <c r="G11" s="1"/>
    </row>
    <row r="12" spans="1:7" x14ac:dyDescent="0.25">
      <c r="A12" s="1"/>
      <c r="B12" s="24" t="s">
        <v>56</v>
      </c>
      <c r="C12" s="53"/>
      <c r="D12" s="53"/>
      <c r="E12" s="7">
        <v>531334.25640000007</v>
      </c>
      <c r="F12" s="53" t="s">
        <v>3</v>
      </c>
      <c r="G12" s="1"/>
    </row>
    <row r="13" spans="1:7" x14ac:dyDescent="0.25">
      <c r="A13" s="1"/>
      <c r="B13" s="24" t="s">
        <v>57</v>
      </c>
      <c r="C13" s="53"/>
      <c r="D13" s="53"/>
      <c r="E13" s="8">
        <v>0</v>
      </c>
      <c r="F13" s="53" t="s">
        <v>3</v>
      </c>
      <c r="G13" s="1"/>
    </row>
    <row r="14" spans="1:7" x14ac:dyDescent="0.25">
      <c r="A14" s="1"/>
      <c r="B14" s="24" t="s">
        <v>59</v>
      </c>
      <c r="C14" s="53"/>
      <c r="D14" s="53"/>
      <c r="E14" s="8">
        <v>0</v>
      </c>
      <c r="F14" s="53" t="s">
        <v>3</v>
      </c>
      <c r="G14" s="1"/>
    </row>
    <row r="15" spans="1:7" x14ac:dyDescent="0.25">
      <c r="A15" s="1"/>
      <c r="B15" s="24" t="s">
        <v>18</v>
      </c>
      <c r="C15" s="53"/>
      <c r="D15" s="53"/>
      <c r="E15" s="8">
        <v>227536.47152468155</v>
      </c>
      <c r="F15" s="53" t="s">
        <v>3</v>
      </c>
      <c r="G15" s="1"/>
    </row>
    <row r="16" spans="1:7" x14ac:dyDescent="0.25">
      <c r="A16" s="1"/>
      <c r="B16" s="24" t="s">
        <v>47</v>
      </c>
      <c r="C16" s="53"/>
      <c r="D16" s="53"/>
      <c r="E16" s="8">
        <v>-286425.18582264963</v>
      </c>
      <c r="F16" s="53" t="s">
        <v>3</v>
      </c>
      <c r="G16" s="1"/>
    </row>
    <row r="17" spans="1:7" x14ac:dyDescent="0.25">
      <c r="A17" s="1"/>
      <c r="B17" s="66" t="s">
        <v>20</v>
      </c>
      <c r="C17" s="32"/>
      <c r="D17" s="32"/>
      <c r="E17" s="9">
        <v>16562115.156686151</v>
      </c>
      <c r="F17" s="28" t="s">
        <v>3</v>
      </c>
      <c r="G17" s="1"/>
    </row>
    <row r="18" spans="1:7" x14ac:dyDescent="0.25">
      <c r="A18" s="1"/>
      <c r="B18" s="27" t="s">
        <v>11</v>
      </c>
      <c r="C18" s="27"/>
      <c r="D18" s="27"/>
      <c r="E18" s="27"/>
      <c r="F18" s="27"/>
      <c r="G18" s="1"/>
    </row>
    <row r="19" spans="1:7" x14ac:dyDescent="0.25">
      <c r="A19" s="1"/>
      <c r="B19" s="28" t="s">
        <v>11</v>
      </c>
      <c r="C19" s="28"/>
      <c r="D19" s="28"/>
      <c r="E19" s="9">
        <v>162598.92138432001</v>
      </c>
      <c r="F19" s="28" t="s">
        <v>3</v>
      </c>
      <c r="G19" s="1"/>
    </row>
    <row r="20" spans="1:7" x14ac:dyDescent="0.25">
      <c r="A20" s="1"/>
      <c r="B20" s="27" t="s">
        <v>38</v>
      </c>
      <c r="C20" s="27"/>
      <c r="D20" s="27"/>
      <c r="E20" s="27"/>
      <c r="F20" s="27"/>
      <c r="G20" s="1"/>
    </row>
    <row r="21" spans="1:7" x14ac:dyDescent="0.25">
      <c r="A21" s="1"/>
      <c r="B21" s="66" t="s">
        <v>38</v>
      </c>
      <c r="C21" s="32"/>
      <c r="D21" s="32"/>
      <c r="E21" s="9">
        <v>5335.4854347076798</v>
      </c>
      <c r="F21" s="28" t="s">
        <v>3</v>
      </c>
      <c r="G21" s="1"/>
    </row>
    <row r="22" spans="1:7" x14ac:dyDescent="0.25">
      <c r="A22" s="1"/>
      <c r="B22" s="27" t="s">
        <v>37</v>
      </c>
      <c r="C22" s="27"/>
      <c r="D22" s="27"/>
      <c r="E22" s="27"/>
      <c r="F22" s="27"/>
      <c r="G22" s="1"/>
    </row>
    <row r="23" spans="1:7" x14ac:dyDescent="0.25">
      <c r="A23" s="1"/>
      <c r="B23" s="24" t="s">
        <v>33</v>
      </c>
      <c r="C23" s="53"/>
      <c r="D23" s="53"/>
      <c r="E23" s="8">
        <v>0</v>
      </c>
      <c r="F23" s="53" t="s">
        <v>3</v>
      </c>
      <c r="G23" s="1"/>
    </row>
    <row r="24" spans="1:7" x14ac:dyDescent="0.25">
      <c r="A24" s="1"/>
      <c r="B24" s="24" t="s">
        <v>34</v>
      </c>
      <c r="C24" s="53"/>
      <c r="D24" s="53"/>
      <c r="E24" s="8">
        <v>0</v>
      </c>
      <c r="F24" s="53" t="s">
        <v>3</v>
      </c>
      <c r="G24" s="1"/>
    </row>
    <row r="25" spans="1:7" x14ac:dyDescent="0.25">
      <c r="A25" s="1"/>
      <c r="B25" s="24" t="s">
        <v>101</v>
      </c>
      <c r="C25" s="53"/>
      <c r="D25" s="53"/>
      <c r="E25" s="8">
        <v>0</v>
      </c>
      <c r="F25" s="53" t="s">
        <v>3</v>
      </c>
      <c r="G25" s="1"/>
    </row>
    <row r="26" spans="1:7" x14ac:dyDescent="0.25">
      <c r="A26" s="1"/>
      <c r="B26" s="66" t="s">
        <v>39</v>
      </c>
      <c r="C26" s="32"/>
      <c r="D26" s="32"/>
      <c r="E26" s="9">
        <v>0</v>
      </c>
      <c r="F26" s="28" t="s">
        <v>3</v>
      </c>
      <c r="G26" s="1"/>
    </row>
    <row r="27" spans="1:7" x14ac:dyDescent="0.25">
      <c r="A27" s="1"/>
      <c r="B27" s="27" t="s">
        <v>68</v>
      </c>
      <c r="C27" s="22"/>
      <c r="D27" s="73"/>
      <c r="E27" s="27"/>
      <c r="F27" s="27"/>
      <c r="G27" s="1"/>
    </row>
    <row r="28" spans="1:7" x14ac:dyDescent="0.25">
      <c r="A28" s="1"/>
      <c r="B28" s="28" t="s">
        <v>27</v>
      </c>
      <c r="C28" s="28"/>
      <c r="D28" s="28"/>
      <c r="E28" s="9">
        <v>491440.31535072176</v>
      </c>
      <c r="F28" s="28" t="s">
        <v>3</v>
      </c>
      <c r="G28" s="1"/>
    </row>
    <row r="29" spans="1:7" x14ac:dyDescent="0.25">
      <c r="A29" s="1"/>
      <c r="B29" s="66" t="s">
        <v>67</v>
      </c>
      <c r="C29" s="55"/>
      <c r="D29" s="55"/>
      <c r="E29" s="9">
        <v>0</v>
      </c>
      <c r="F29" s="28" t="s">
        <v>3</v>
      </c>
      <c r="G29" s="1"/>
    </row>
    <row r="30" spans="1:7" x14ac:dyDescent="0.25">
      <c r="A30" s="1"/>
      <c r="B30" s="27" t="s">
        <v>70</v>
      </c>
      <c r="C30" s="27"/>
      <c r="D30" s="27"/>
      <c r="E30" s="27"/>
      <c r="F30" s="27"/>
      <c r="G30" s="1"/>
    </row>
    <row r="31" spans="1:7" x14ac:dyDescent="0.25">
      <c r="A31" s="1"/>
      <c r="B31" s="28" t="s">
        <v>88</v>
      </c>
      <c r="C31" s="28"/>
      <c r="D31" s="28"/>
      <c r="E31" s="9">
        <v>-653907.71982043935</v>
      </c>
      <c r="F31" s="28" t="s">
        <v>3</v>
      </c>
      <c r="G31" s="1"/>
    </row>
    <row r="32" spans="1:7" x14ac:dyDescent="0.25">
      <c r="A32" s="1"/>
      <c r="B32" s="27" t="s">
        <v>82</v>
      </c>
      <c r="C32" s="27" t="s">
        <v>82</v>
      </c>
      <c r="D32" s="27" t="s">
        <v>82</v>
      </c>
      <c r="E32" s="27"/>
      <c r="F32" s="27"/>
      <c r="G32" s="1"/>
    </row>
    <row r="33" spans="1:7" x14ac:dyDescent="0.25">
      <c r="A33" s="1"/>
      <c r="B33" s="66" t="s">
        <v>83</v>
      </c>
      <c r="C33" s="9"/>
      <c r="D33" s="28" t="s">
        <v>3</v>
      </c>
      <c r="E33" s="9">
        <v>0</v>
      </c>
      <c r="F33" s="28" t="s">
        <v>3</v>
      </c>
      <c r="G33" s="1"/>
    </row>
    <row r="34" spans="1:7" x14ac:dyDescent="0.25">
      <c r="A34" s="1"/>
      <c r="B34" s="27" t="s">
        <v>165</v>
      </c>
      <c r="C34" s="27"/>
      <c r="D34" s="27"/>
      <c r="E34" s="10">
        <v>16567582.159035459</v>
      </c>
      <c r="F34" s="11" t="s">
        <v>3</v>
      </c>
      <c r="G34" s="1"/>
    </row>
    <row r="35" spans="1:7" ht="30" customHeight="1" x14ac:dyDescent="0.25">
      <c r="A35" s="1"/>
      <c r="B35" s="94" t="s">
        <v>167</v>
      </c>
      <c r="C35" s="94"/>
      <c r="D35" s="94"/>
      <c r="E35" s="94"/>
      <c r="F35" s="9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0jaldaP4LwIQ3RgdBK4WbF1nKGAZtMeH+LVB281LzEqv6wRzwuJGqiTx3FD7fZHmVnZYc2Qwldwk1nEJMrMqqw==" saltValue="w8cpRbmnsH458eY2KfFq0Q=="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2">
    <mergeCell ref="B35:F35"/>
    <mergeCell ref="B3:F4"/>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view="pageLayout" zoomScale="90" zoomScaleNormal="100" zoomScalePageLayoutView="9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2" t="s">
        <v>44</v>
      </c>
      <c r="C3" s="92"/>
      <c r="D3" s="92"/>
      <c r="E3" s="1"/>
    </row>
    <row r="4" spans="1:5" ht="15" customHeight="1" x14ac:dyDescent="0.25">
      <c r="A4" s="1"/>
      <c r="B4" s="92"/>
      <c r="C4" s="92"/>
      <c r="D4" s="9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6" t="s">
        <v>138</v>
      </c>
      <c r="C8" s="97"/>
      <c r="D8" s="98"/>
      <c r="E8" s="1"/>
    </row>
    <row r="9" spans="1:5" ht="15" customHeight="1" x14ac:dyDescent="0.25">
      <c r="A9" s="1"/>
      <c r="B9" s="17" t="s">
        <v>25</v>
      </c>
      <c r="C9" s="28" t="s">
        <v>142</v>
      </c>
      <c r="D9" s="28"/>
      <c r="E9" s="1"/>
    </row>
    <row r="10" spans="1:5" x14ac:dyDescent="0.25">
      <c r="A10" s="1"/>
      <c r="B10" s="23" t="s">
        <v>170</v>
      </c>
      <c r="C10" s="8">
        <v>138839</v>
      </c>
      <c r="D10" s="12" t="s">
        <v>3</v>
      </c>
      <c r="E10" s="1"/>
    </row>
    <row r="11" spans="1:5" x14ac:dyDescent="0.25">
      <c r="A11" s="1"/>
      <c r="B11" s="23" t="s">
        <v>171</v>
      </c>
      <c r="C11" s="8">
        <v>5330</v>
      </c>
      <c r="D11" s="12" t="s">
        <v>3</v>
      </c>
      <c r="E11" s="1"/>
    </row>
    <row r="12" spans="1:5" x14ac:dyDescent="0.25">
      <c r="A12" s="1"/>
      <c r="B12" s="23" t="s">
        <v>172</v>
      </c>
      <c r="C12" s="8">
        <v>36186</v>
      </c>
      <c r="D12" s="12" t="s">
        <v>3</v>
      </c>
      <c r="E12" s="1"/>
    </row>
    <row r="13" spans="1:5" x14ac:dyDescent="0.25">
      <c r="A13" s="1"/>
      <c r="B13" s="23"/>
      <c r="C13" s="8"/>
      <c r="D13" s="12" t="s">
        <v>3</v>
      </c>
      <c r="E13" s="1"/>
    </row>
    <row r="14" spans="1:5" x14ac:dyDescent="0.25">
      <c r="A14" s="1"/>
      <c r="B14" s="23"/>
      <c r="C14" s="8"/>
      <c r="D14" s="12" t="s">
        <v>3</v>
      </c>
      <c r="E14" s="1"/>
    </row>
    <row r="15" spans="1:5" x14ac:dyDescent="0.25">
      <c r="A15" s="1"/>
      <c r="B15" s="23"/>
      <c r="C15" s="8"/>
      <c r="D15" s="12" t="s">
        <v>3</v>
      </c>
      <c r="E15" s="1"/>
    </row>
    <row r="16" spans="1:5" x14ac:dyDescent="0.25">
      <c r="A16" s="1"/>
      <c r="B16" s="23"/>
      <c r="C16" s="8"/>
      <c r="D16" s="12" t="s">
        <v>3</v>
      </c>
      <c r="E16" s="1"/>
    </row>
    <row r="17" spans="1:5" x14ac:dyDescent="0.25">
      <c r="A17" s="1"/>
      <c r="B17" s="23"/>
      <c r="C17" s="8"/>
      <c r="D17" s="12" t="s">
        <v>3</v>
      </c>
      <c r="E17" s="1"/>
    </row>
    <row r="18" spans="1:5" x14ac:dyDescent="0.25">
      <c r="A18" s="1"/>
      <c r="B18" s="23"/>
      <c r="C18" s="8"/>
      <c r="D18" s="12" t="s">
        <v>3</v>
      </c>
      <c r="E18" s="1"/>
    </row>
    <row r="19" spans="1:5" x14ac:dyDescent="0.25">
      <c r="A19" s="1"/>
      <c r="B19" s="72" t="s">
        <v>139</v>
      </c>
      <c r="C19" s="10">
        <f>SUM(C10:C18)</f>
        <v>180355</v>
      </c>
      <c r="D19" s="11" t="s">
        <v>3</v>
      </c>
      <c r="E19" s="1"/>
    </row>
    <row r="20" spans="1:5" x14ac:dyDescent="0.25">
      <c r="A20" s="1"/>
      <c r="B20" s="72" t="s">
        <v>140</v>
      </c>
      <c r="C20" s="10">
        <f>C19*(1+'Fane 13. Nøgletal'!C16)^2</f>
        <v>210677.84086719999</v>
      </c>
      <c r="D20" s="11" t="s">
        <v>3</v>
      </c>
      <c r="E20" s="1"/>
    </row>
    <row r="21" spans="1:5" x14ac:dyDescent="0.25">
      <c r="A21" s="1"/>
      <c r="B21" s="14"/>
      <c r="C21" s="13"/>
      <c r="D21" s="13"/>
      <c r="E21" s="1"/>
    </row>
    <row r="22" spans="1:5" x14ac:dyDescent="0.25">
      <c r="A22" s="1"/>
      <c r="B22" s="14"/>
      <c r="C22" s="13"/>
      <c r="D22" s="13"/>
      <c r="E22" s="1"/>
    </row>
    <row r="23" spans="1:5" x14ac:dyDescent="0.25">
      <c r="A23" s="1"/>
      <c r="B23" s="96" t="s">
        <v>54</v>
      </c>
      <c r="C23" s="97"/>
      <c r="D23" s="98"/>
      <c r="E23" s="1"/>
    </row>
    <row r="24" spans="1:5" x14ac:dyDescent="0.25">
      <c r="A24" s="1"/>
      <c r="B24" s="23" t="s">
        <v>61</v>
      </c>
      <c r="C24" s="8">
        <v>0</v>
      </c>
      <c r="D24" s="12" t="s">
        <v>3</v>
      </c>
      <c r="E24" s="1"/>
    </row>
    <row r="25" spans="1:5" x14ac:dyDescent="0.25">
      <c r="A25" s="1"/>
      <c r="B25" s="23" t="s">
        <v>74</v>
      </c>
      <c r="C25" s="8">
        <v>0</v>
      </c>
      <c r="D25" s="12" t="s">
        <v>3</v>
      </c>
      <c r="E25" s="1"/>
    </row>
    <row r="26" spans="1:5" x14ac:dyDescent="0.25">
      <c r="A26" s="1"/>
      <c r="B26" s="23" t="s">
        <v>92</v>
      </c>
      <c r="C26" s="8">
        <v>0</v>
      </c>
      <c r="D26" s="12" t="s">
        <v>3</v>
      </c>
      <c r="E26" s="1"/>
    </row>
    <row r="27" spans="1:5" x14ac:dyDescent="0.25">
      <c r="A27" s="1"/>
      <c r="B27" s="25" t="s">
        <v>141</v>
      </c>
      <c r="C27" s="8">
        <v>0</v>
      </c>
      <c r="D27" s="12" t="s">
        <v>3</v>
      </c>
      <c r="E27" s="1"/>
    </row>
    <row r="28" spans="1:5" x14ac:dyDescent="0.25">
      <c r="A28" s="1"/>
      <c r="B28" s="96"/>
      <c r="C28" s="97"/>
      <c r="D28" s="98"/>
      <c r="E28" s="1"/>
    </row>
    <row r="29" spans="1:5" x14ac:dyDescent="0.25">
      <c r="A29" s="1"/>
      <c r="B29" s="1"/>
      <c r="C29" s="1"/>
      <c r="D29" s="1"/>
      <c r="E29" s="1"/>
    </row>
    <row r="30" spans="1:5" x14ac:dyDescent="0.25">
      <c r="A30" s="1"/>
      <c r="B30" s="1"/>
      <c r="C30" s="1"/>
      <c r="D30" s="1"/>
      <c r="E30" s="1"/>
    </row>
    <row r="31" spans="1:5" x14ac:dyDescent="0.25">
      <c r="A31" s="1"/>
      <c r="B31" s="96" t="s">
        <v>43</v>
      </c>
      <c r="C31" s="97"/>
      <c r="D31" s="98"/>
      <c r="E31" s="1"/>
    </row>
    <row r="32" spans="1:5" x14ac:dyDescent="0.25">
      <c r="A32" s="1"/>
      <c r="B32" s="23" t="s">
        <v>61</v>
      </c>
      <c r="C32" s="8">
        <v>0</v>
      </c>
      <c r="D32" s="12" t="s">
        <v>3</v>
      </c>
      <c r="E32" s="1"/>
    </row>
    <row r="33" spans="1:5" x14ac:dyDescent="0.25">
      <c r="A33" s="1"/>
      <c r="B33" s="23" t="s">
        <v>74</v>
      </c>
      <c r="C33" s="8">
        <v>0</v>
      </c>
      <c r="D33" s="12" t="s">
        <v>3</v>
      </c>
      <c r="E33" s="1"/>
    </row>
    <row r="34" spans="1:5" x14ac:dyDescent="0.25">
      <c r="A34" s="1"/>
      <c r="B34" s="23" t="s">
        <v>92</v>
      </c>
      <c r="C34" s="8">
        <v>0</v>
      </c>
      <c r="D34" s="12" t="s">
        <v>3</v>
      </c>
      <c r="E34" s="1"/>
    </row>
    <row r="35" spans="1:5" x14ac:dyDescent="0.25">
      <c r="A35" s="1"/>
      <c r="B35" s="25" t="s">
        <v>141</v>
      </c>
      <c r="C35" s="8">
        <v>0</v>
      </c>
      <c r="D35" s="30" t="s">
        <v>3</v>
      </c>
      <c r="E35" s="1"/>
    </row>
    <row r="36" spans="1:5" x14ac:dyDescent="0.25">
      <c r="A36" s="1"/>
      <c r="B36" s="96"/>
      <c r="C36" s="97"/>
      <c r="D36" s="98"/>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x14ac:dyDescent="0.25">
      <c r="A51" s="44"/>
      <c r="B51" s="44"/>
      <c r="C51" s="44"/>
      <c r="D51" s="44"/>
      <c r="E51" s="44"/>
    </row>
    <row r="52" spans="1:5" x14ac:dyDescent="0.25">
      <c r="A52" s="44"/>
      <c r="B52" s="44"/>
      <c r="C52" s="44"/>
      <c r="D52" s="44"/>
      <c r="E52" s="44"/>
    </row>
    <row r="53" spans="1:5" x14ac:dyDescent="0.25">
      <c r="A53" s="44"/>
      <c r="B53" s="44"/>
      <c r="C53" s="44"/>
      <c r="D53" s="44"/>
      <c r="E53" s="44"/>
    </row>
    <row r="54" spans="1:5" x14ac:dyDescent="0.25">
      <c r="A54" s="44"/>
      <c r="B54" s="44"/>
      <c r="C54" s="44"/>
      <c r="D54" s="44"/>
      <c r="E54" s="44"/>
    </row>
    <row r="55" spans="1:5" x14ac:dyDescent="0.25">
      <c r="A55" s="44"/>
      <c r="B55" s="44"/>
      <c r="C55" s="44"/>
      <c r="D55" s="44"/>
      <c r="E55" s="44"/>
    </row>
    <row r="56" spans="1:5" x14ac:dyDescent="0.25">
      <c r="A56" s="44"/>
      <c r="B56" s="44"/>
      <c r="C56" s="44"/>
      <c r="D56" s="44"/>
      <c r="E56" s="44"/>
    </row>
  </sheetData>
  <sheetProtection algorithmName="SHA-512" hashValue="UMvW87MwMb3eUHA3q7OR/CnAf5C8m+eggjz7VRhpjAVbGHo7D+s4gSiSXlDAv/vHcZimSYOE/fASrBea2chuEg==" saltValue="aewAYqzCvSq6G2ORfK/5bw=="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5" t="s">
        <v>143</v>
      </c>
      <c r="C3" s="95"/>
      <c r="D3" s="95"/>
      <c r="E3" s="95"/>
      <c r="F3" s="95"/>
      <c r="G3" s="1"/>
    </row>
    <row r="4" spans="1:7" ht="15" customHeight="1" x14ac:dyDescent="0.25">
      <c r="A4" s="1"/>
      <c r="B4" s="95"/>
      <c r="C4" s="95"/>
      <c r="D4" s="95"/>
      <c r="E4" s="95"/>
      <c r="F4" s="95"/>
      <c r="G4" s="1"/>
    </row>
    <row r="5" spans="1:7" ht="15" customHeight="1" x14ac:dyDescent="0.25">
      <c r="A5" s="1"/>
      <c r="B5" s="59"/>
      <c r="C5" s="59"/>
      <c r="D5" s="59"/>
      <c r="E5" s="59"/>
      <c r="F5" s="59"/>
      <c r="G5" s="1"/>
    </row>
    <row r="6" spans="1:7" ht="15" customHeight="1" x14ac:dyDescent="0.25">
      <c r="A6" s="1"/>
      <c r="B6" s="59"/>
      <c r="C6" s="59"/>
      <c r="D6" s="59"/>
      <c r="E6" s="59"/>
      <c r="F6" s="59"/>
      <c r="G6" s="1"/>
    </row>
    <row r="7" spans="1:7" x14ac:dyDescent="0.25">
      <c r="A7" s="1"/>
      <c r="B7" s="1"/>
      <c r="C7" s="1"/>
      <c r="D7" s="1"/>
      <c r="E7" s="1"/>
      <c r="F7" s="1"/>
      <c r="G7" s="1"/>
    </row>
    <row r="8" spans="1:7" x14ac:dyDescent="0.25">
      <c r="A8" s="1"/>
      <c r="B8" s="96" t="s">
        <v>84</v>
      </c>
      <c r="C8" s="97"/>
      <c r="D8" s="97"/>
      <c r="E8" s="97"/>
      <c r="F8" s="98"/>
      <c r="G8" s="1"/>
    </row>
    <row r="9" spans="1:7" x14ac:dyDescent="0.25">
      <c r="A9" s="1"/>
      <c r="B9" s="102" t="s">
        <v>177</v>
      </c>
      <c r="C9" s="103"/>
      <c r="D9" s="104"/>
      <c r="E9" s="8">
        <v>-1084337.0549999997</v>
      </c>
      <c r="F9" s="12" t="s">
        <v>3</v>
      </c>
      <c r="G9" s="1"/>
    </row>
    <row r="10" spans="1:7" x14ac:dyDescent="0.25">
      <c r="A10" s="1"/>
      <c r="B10" s="102" t="s">
        <v>178</v>
      </c>
      <c r="C10" s="103"/>
      <c r="D10" s="104"/>
      <c r="E10" s="8">
        <v>1928537.7046264466</v>
      </c>
      <c r="F10" s="12" t="s">
        <v>3</v>
      </c>
      <c r="G10" s="1"/>
    </row>
    <row r="11" spans="1:7" x14ac:dyDescent="0.25">
      <c r="A11" s="1"/>
      <c r="B11" s="102" t="s">
        <v>179</v>
      </c>
      <c r="C11" s="103"/>
      <c r="D11" s="104"/>
      <c r="E11" s="8">
        <v>2918547</v>
      </c>
      <c r="F11" s="12" t="s">
        <v>3</v>
      </c>
      <c r="G11" s="1"/>
    </row>
    <row r="12" spans="1:7" x14ac:dyDescent="0.25">
      <c r="A12" s="1"/>
      <c r="B12" s="102" t="s">
        <v>180</v>
      </c>
      <c r="C12" s="103"/>
      <c r="D12" s="104"/>
      <c r="E12" s="8">
        <v>-650348.11897172604</v>
      </c>
      <c r="F12" s="12" t="s">
        <v>3</v>
      </c>
      <c r="G12" s="1"/>
    </row>
    <row r="13" spans="1:7" x14ac:dyDescent="0.25">
      <c r="A13" s="1"/>
      <c r="B13" s="102" t="s">
        <v>144</v>
      </c>
      <c r="C13" s="103"/>
      <c r="D13" s="104"/>
      <c r="E13" s="8">
        <v>979914.70144144446</v>
      </c>
      <c r="F13" s="12" t="s">
        <v>3</v>
      </c>
      <c r="G13" s="1"/>
    </row>
    <row r="14" spans="1:7" x14ac:dyDescent="0.25">
      <c r="A14" s="1"/>
      <c r="B14" s="72"/>
      <c r="C14" s="22"/>
      <c r="D14" s="22"/>
      <c r="E14" s="22"/>
      <c r="F14" s="73"/>
      <c r="G14" s="1"/>
    </row>
    <row r="15" spans="1:7" x14ac:dyDescent="0.25">
      <c r="A15" s="1"/>
      <c r="B15" s="108" t="s">
        <v>181</v>
      </c>
      <c r="C15" s="109"/>
      <c r="D15" s="109"/>
      <c r="E15" s="109"/>
      <c r="F15" s="110"/>
      <c r="G15" s="1"/>
    </row>
    <row r="16" spans="1:7" x14ac:dyDescent="0.25">
      <c r="A16" s="1"/>
      <c r="B16" s="1"/>
      <c r="C16" s="1"/>
      <c r="D16" s="1"/>
      <c r="E16" s="1"/>
      <c r="F16" s="1"/>
      <c r="G16" s="1"/>
    </row>
    <row r="17" spans="1:7" x14ac:dyDescent="0.25">
      <c r="A17" s="1"/>
      <c r="B17" s="60" t="s">
        <v>182</v>
      </c>
      <c r="C17" s="61"/>
      <c r="D17" s="61"/>
      <c r="E17" s="61"/>
      <c r="F17" s="62"/>
      <c r="G17" s="1"/>
    </row>
    <row r="18" spans="1:7" x14ac:dyDescent="0.25">
      <c r="A18" s="1"/>
      <c r="B18" s="63" t="s">
        <v>183</v>
      </c>
      <c r="C18" s="64"/>
      <c r="D18" s="65"/>
      <c r="E18" s="8">
        <f>IF(E12&lt;0,E12,0)</f>
        <v>-650348.11897172604</v>
      </c>
      <c r="F18" s="12" t="s">
        <v>3</v>
      </c>
      <c r="G18" s="1"/>
    </row>
    <row r="19" spans="1:7" x14ac:dyDescent="0.25">
      <c r="A19" s="1"/>
      <c r="B19" s="63" t="s">
        <v>184</v>
      </c>
      <c r="C19" s="64"/>
      <c r="D19" s="65"/>
      <c r="E19" s="8">
        <f>IF(SUM(E9:E11)&gt;0,SUM(E9:E11),0)</f>
        <v>3762747.6496264469</v>
      </c>
      <c r="F19" s="12" t="s">
        <v>3</v>
      </c>
      <c r="G19" s="1"/>
    </row>
    <row r="20" spans="1:7" x14ac:dyDescent="0.25">
      <c r="A20" s="1"/>
      <c r="B20" s="46" t="s">
        <v>185</v>
      </c>
      <c r="C20" s="47"/>
      <c r="D20" s="48"/>
      <c r="E20" s="57">
        <f>IF(SUM(E18:E19)&gt;0,0,SUM(E18:E19))</f>
        <v>0</v>
      </c>
      <c r="F20" s="15" t="s">
        <v>3</v>
      </c>
      <c r="G20" s="1"/>
    </row>
    <row r="21" spans="1:7" x14ac:dyDescent="0.25">
      <c r="A21" s="1"/>
      <c r="B21" s="72"/>
      <c r="C21" s="22"/>
      <c r="D21" s="22"/>
      <c r="E21" s="22"/>
      <c r="F21" s="73"/>
      <c r="G21" s="1"/>
    </row>
    <row r="22" spans="1:7" x14ac:dyDescent="0.25">
      <c r="A22" s="1"/>
      <c r="B22" s="1"/>
      <c r="C22" s="1"/>
      <c r="D22" s="1"/>
      <c r="E22" s="1"/>
      <c r="F22" s="1"/>
      <c r="G22" s="1"/>
    </row>
    <row r="23" spans="1:7" x14ac:dyDescent="0.25">
      <c r="A23" s="1"/>
      <c r="B23" s="60" t="s">
        <v>186</v>
      </c>
      <c r="C23" s="61"/>
      <c r="D23" s="61"/>
      <c r="E23" s="61"/>
      <c r="F23" s="62"/>
      <c r="G23" s="1"/>
    </row>
    <row r="24" spans="1:7" x14ac:dyDescent="0.25">
      <c r="A24" s="1"/>
      <c r="B24" s="63" t="s">
        <v>187</v>
      </c>
      <c r="C24" s="64"/>
      <c r="D24" s="65"/>
      <c r="E24" s="8">
        <v>15919715.479289157</v>
      </c>
      <c r="F24" s="12" t="s">
        <v>3</v>
      </c>
      <c r="G24" s="1"/>
    </row>
    <row r="25" spans="1:7" x14ac:dyDescent="0.25">
      <c r="A25" s="1"/>
      <c r="B25" s="63" t="s">
        <v>188</v>
      </c>
      <c r="C25" s="64"/>
      <c r="D25" s="65"/>
      <c r="E25" s="8">
        <v>15301567</v>
      </c>
      <c r="F25" s="12" t="s">
        <v>3</v>
      </c>
      <c r="G25" s="1"/>
    </row>
    <row r="26" spans="1:7" x14ac:dyDescent="0.25">
      <c r="A26" s="1"/>
      <c r="B26" s="63" t="s">
        <v>26</v>
      </c>
      <c r="C26" s="64"/>
      <c r="D26" s="65"/>
      <c r="E26" s="8">
        <v>0</v>
      </c>
      <c r="F26" s="12" t="s">
        <v>3</v>
      </c>
      <c r="G26" s="1"/>
    </row>
    <row r="27" spans="1:7" x14ac:dyDescent="0.25">
      <c r="A27" s="1"/>
      <c r="B27" s="46" t="s">
        <v>189</v>
      </c>
      <c r="C27" s="47"/>
      <c r="D27" s="48"/>
      <c r="E27" s="57">
        <f>E24-(E25-E26)</f>
        <v>618148.47928915732</v>
      </c>
      <c r="F27" s="15" t="s">
        <v>3</v>
      </c>
      <c r="G27" s="1"/>
    </row>
    <row r="28" spans="1:7" x14ac:dyDescent="0.25">
      <c r="A28" s="1"/>
      <c r="B28" s="72"/>
      <c r="C28" s="22"/>
      <c r="D28" s="22"/>
      <c r="E28" s="22"/>
      <c r="F28" s="73"/>
      <c r="G28" s="1"/>
    </row>
    <row r="29" spans="1:7" x14ac:dyDescent="0.25">
      <c r="A29" s="1"/>
      <c r="B29" s="1"/>
      <c r="C29" s="1"/>
      <c r="D29" s="1"/>
      <c r="E29" s="1"/>
      <c r="F29" s="1"/>
      <c r="G29" s="1"/>
    </row>
    <row r="30" spans="1:7" x14ac:dyDescent="0.25">
      <c r="A30" s="1"/>
      <c r="B30" s="96" t="s">
        <v>190</v>
      </c>
      <c r="C30" s="97"/>
      <c r="D30" s="97"/>
      <c r="E30" s="97"/>
      <c r="F30" s="98"/>
      <c r="G30" s="1"/>
    </row>
    <row r="31" spans="1:7" x14ac:dyDescent="0.25">
      <c r="A31" s="1"/>
      <c r="B31" s="105" t="s">
        <v>68</v>
      </c>
      <c r="C31" s="106"/>
      <c r="D31" s="107"/>
      <c r="E31" s="8">
        <f>IF(SUM(E27,E13,E12)&gt;0,0,IF(AND(SUM(E27,E13)&lt;0,E12&lt;0),SUM(E13,E20,E27),IF(AND(SUM(E27,E13)&lt;0,E12&gt;0),SUM(E13,E12,E20,E27),E20)))</f>
        <v>0</v>
      </c>
      <c r="F31" s="12" t="s">
        <v>3</v>
      </c>
      <c r="G31" s="1"/>
    </row>
    <row r="32" spans="1:7" x14ac:dyDescent="0.25">
      <c r="A32" s="1"/>
      <c r="B32" s="105" t="s">
        <v>48</v>
      </c>
      <c r="C32" s="106"/>
      <c r="D32" s="107"/>
      <c r="E32" s="8">
        <v>2</v>
      </c>
      <c r="F32" s="12" t="s">
        <v>19</v>
      </c>
      <c r="G32" s="1"/>
    </row>
    <row r="33" spans="1:7" x14ac:dyDescent="0.25">
      <c r="A33" s="1"/>
      <c r="B33" s="111" t="s">
        <v>85</v>
      </c>
      <c r="C33" s="111"/>
      <c r="D33" s="111"/>
      <c r="E33" s="9">
        <f>E31/E32</f>
        <v>0</v>
      </c>
      <c r="F33" s="15" t="s">
        <v>3</v>
      </c>
      <c r="G33" s="1"/>
    </row>
    <row r="34" spans="1:7" x14ac:dyDescent="0.25">
      <c r="A34" s="1"/>
      <c r="B34" s="99"/>
      <c r="C34" s="100"/>
      <c r="D34" s="100"/>
      <c r="E34" s="100"/>
      <c r="F34" s="10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X2HW/hxPi+mlxkcXVTooGcz69h68FGYOsRYHFPStPkY5T4T2VvketN8E4um1YgrbAvkftsc45BSe4UWkZeDWg==" saltValue="kEjq6svQzk88FhB7OFiu0g==" spinCount="100000" sheet="1" objects="1" scenarios="1"/>
  <mergeCells count="13">
    <mergeCell ref="B34:F34"/>
    <mergeCell ref="B3:F4"/>
    <mergeCell ref="B8:F8"/>
    <mergeCell ref="B9:D9"/>
    <mergeCell ref="B10:D10"/>
    <mergeCell ref="B11:D11"/>
    <mergeCell ref="B12:D12"/>
    <mergeCell ref="B13:D13"/>
    <mergeCell ref="B31:D31"/>
    <mergeCell ref="B32:D32"/>
    <mergeCell ref="B15:F15"/>
    <mergeCell ref="B30:F30"/>
    <mergeCell ref="B33:D3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5" t="s">
        <v>145</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146</v>
      </c>
      <c r="C9" s="112"/>
      <c r="D9" s="112"/>
      <c r="E9" s="112"/>
      <c r="F9" s="112"/>
      <c r="G9" s="1"/>
    </row>
    <row r="10" spans="1:7" x14ac:dyDescent="0.25">
      <c r="A10" s="1"/>
      <c r="B10" s="113" t="s">
        <v>45</v>
      </c>
      <c r="C10" s="113"/>
      <c r="D10" s="113"/>
      <c r="E10" s="7">
        <v>595047.05672281666</v>
      </c>
      <c r="F10" s="53" t="s">
        <v>3</v>
      </c>
      <c r="G10" s="1"/>
    </row>
    <row r="11" spans="1:7" x14ac:dyDescent="0.25">
      <c r="A11" s="1"/>
      <c r="B11" s="114" t="s">
        <v>147</v>
      </c>
      <c r="C11" s="114"/>
      <c r="D11" s="114"/>
      <c r="E11" s="7">
        <v>1028803</v>
      </c>
      <c r="F11" s="53" t="s">
        <v>3</v>
      </c>
      <c r="G11" s="1"/>
    </row>
    <row r="12" spans="1:7" x14ac:dyDescent="0.25">
      <c r="A12" s="1"/>
      <c r="B12" s="111" t="s">
        <v>46</v>
      </c>
      <c r="C12" s="111"/>
      <c r="D12" s="111"/>
      <c r="E12" s="9">
        <f>E11-E10</f>
        <v>433755.94327718334</v>
      </c>
      <c r="F12" s="28" t="s">
        <v>3</v>
      </c>
      <c r="G12" s="1"/>
    </row>
    <row r="13" spans="1:7" x14ac:dyDescent="0.25">
      <c r="A13" s="1"/>
      <c r="B13" s="112" t="s">
        <v>42</v>
      </c>
      <c r="C13" s="112"/>
      <c r="D13" s="112"/>
      <c r="E13" s="112"/>
      <c r="F13" s="112"/>
      <c r="G13" s="1"/>
    </row>
    <row r="14" spans="1:7" x14ac:dyDescent="0.25">
      <c r="A14" s="1"/>
      <c r="B14" s="114" t="s">
        <v>150</v>
      </c>
      <c r="C14" s="114"/>
      <c r="D14" s="114"/>
      <c r="E14" s="7">
        <v>0</v>
      </c>
      <c r="F14" s="53" t="s">
        <v>3</v>
      </c>
      <c r="G14" s="1"/>
    </row>
    <row r="15" spans="1:7" x14ac:dyDescent="0.25">
      <c r="A15" s="1"/>
      <c r="B15" s="114" t="s">
        <v>148</v>
      </c>
      <c r="C15" s="114"/>
      <c r="D15" s="114"/>
      <c r="E15" s="7">
        <v>0</v>
      </c>
      <c r="F15" s="53" t="s">
        <v>3</v>
      </c>
      <c r="G15" s="1"/>
    </row>
    <row r="16" spans="1:7" x14ac:dyDescent="0.25">
      <c r="A16" s="1"/>
      <c r="B16" s="111" t="s">
        <v>46</v>
      </c>
      <c r="C16" s="111"/>
      <c r="D16" s="111"/>
      <c r="E16" s="9">
        <f>E15-E14</f>
        <v>0</v>
      </c>
      <c r="F16" s="28" t="s">
        <v>3</v>
      </c>
      <c r="G16" s="1"/>
    </row>
    <row r="17" spans="1:7" x14ac:dyDescent="0.25">
      <c r="A17" s="1"/>
      <c r="B17" s="27" t="s">
        <v>149</v>
      </c>
      <c r="C17" s="27"/>
      <c r="D17" s="27"/>
      <c r="E17" s="10">
        <f>E12+E16</f>
        <v>433755.94327718334</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Ty/s8KmJ7SsG2ce/MhTdhRyRBJZcNm7zoBwZh96DvkLzX9pvg/cF4jYizl46sy9IWdG166Oj+2ThAZv0wqn3A==" saltValue="uCNQc4dsT56/N+mxm+aWBA=="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8</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Korrektion af ØR2022</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Tabel_Fane_7</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2023-08-30T09:54:20Z</dcterms:modified>
</cp:coreProperties>
</file>