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rederikshavn Spildevand AS (S02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C32" i="2"/>
  <c r="E24" i="32" l="1"/>
  <c r="E32" i="32" s="1"/>
  <c r="E34" i="32" s="1"/>
  <c r="E28" i="32" l="1"/>
  <c r="E12" i="37"/>
  <c r="C15" i="19"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<sst xmlns="http://schemas.openxmlformats.org/spreadsheetml/2006/main" count="612" uniqueCount="291">
  <si>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</si>
  <si>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</si>
  <si>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</si>
  <si>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</si>
  <si>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</si>
  <si>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</si>
  <si>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</si>
  <si>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</si>
  <si>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</si>
  <si>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</si>
  <si>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</si>
  <si>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</si>
  <si>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</si>
  <si>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</si>
  <si>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</si>
  <si>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</si>
  <si>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</si>
  <si>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</si>
  <si>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</si>
  <si>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</si>
  <si>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</si>
  <si>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</si>
  <si>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</si>
  <si>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</si>
  <si>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</si>
  <si>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</si>
  <si>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</si>
  <si>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</si>
  <si>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</si>
  <si>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</si>
  <si>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</si>
  <si>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</si>
  <si>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</si>
  <si>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</si>
  <si>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</si>
  <si>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</si>
  <si>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</si>
  <si>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</si>
  <si>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</si>
  <si>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</si>
  <si>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</si>
  <si>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</si>
  <si>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</si>
  <si>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</si>
  <si>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</si>
  <si>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</si>
  <si>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</si>
  <si>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</si>
  <si>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</si>
  <si>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</si>
  <si>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</si>
  <si>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</si>
  <si>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</si>
  <si>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</si>
  <si>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</si>
  <si>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</si>
  <si>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</si>
  <si>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</si>
  <si>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</si>
  <si>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</si>
  <si>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</si>
  <si>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</si>
  <si>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</si>
  <si>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</si>
  <si>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</si>
  <si>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</si>
  <si>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</si>
  <si>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</si>
  <si>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</si>
  <si>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</si>
  <si>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</si>
  <si>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</si>
  <si>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</si>
  <si>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</si>
  <si>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</si>
  <si>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</si>
  <si>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</si>
  <si>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</si>
  <si>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</si>
  <si>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</si>
  <si>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</si>
  <si>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</si>
  <si>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</si>
  <si>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</si>
  <si>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</si>
  <si>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</si>
  <si>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</si>
  <si>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</si>
  <si>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</si>
  <si>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</si>
  <si>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</si>
  <si>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</si>
  <si>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</si>
  <si>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</si>
  <si>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</si>
  <si>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</si>
  <si>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</si>
  <si>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</si>
  <si>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</si>
  <si>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</si>
  <si>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</si>
  <si>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</si>
  <si>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</si>
  <si>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</si>
  <si>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</si>
  <si>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</si>
  <si>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</si>
  <si>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</si>
  <si>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</si>
  <si>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</si>
  <si>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</si>
  <si>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</si>
  <si>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</si>
  <si>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</si>
  <si>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</si>
  <si>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</si>
  <si>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</si>
  <si>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</si>
  <si>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</si>
  <si>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</si>
  <si>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</si>
  <si>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</si>
  <si>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</si>
  <si>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</si>
  <si>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</si>
  <si>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</si>
  <si>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</si>
  <si>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</si>
  <si>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</si>
  <si>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</si>
  <si>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</si>
  <si>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</si>
  <si>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</si>
  <si>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</si>
  <si>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</si>
  <si>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</si>
  <si>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</si>
  <si>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</si>
  <si>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</si>
  <si>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</si>
  <si>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</si>
  <si>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</si>
  <si>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</si>
  <si>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</si>
  <si>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</si>
  <si>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</si>
  <si>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</si>
  <si>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</si>
  <si>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</si>
  <si>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</si>
  <si>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</si>
  <si>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</si>
  <si>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</si>
  <si>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</si>
  <si>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</si>
  <si>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</si>
  <si>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</si>
  <si>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</si>
  <si>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</si>
  <si>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</si>
  <si>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</si>
  <si>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</si>
  <si>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</si>
  <si>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</si>
  <si>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</si>
  <si>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</si>
  <si>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</si>
  <si>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</si>
  <si>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</si>
  <si>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</si>
  <si>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</si>
  <si>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</si>
  <si>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</si>
  <si>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</si>
  <si>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</si>
  <si>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</si>
  <si>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</si>
  <si>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</si>
  <si>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</si>
  <si>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</si>
  <si>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</si>
  <si>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</si>
  <si>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</si>
  <si>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</si>
  <si>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</si>
  <si>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</si>
  <si>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</si>
  <si>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</si>
  <si>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</si>
  <si>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</si>
  <si>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</si>
  <si>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</si>
  <si>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</si>
  <si>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</si>
  <si>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</si>
  <si>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</si>
  <si>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</si>
  <si>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</si>
  <si>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</si>
  <si>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</si>
  <si>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</si>
  <si>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</si>
  <si>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</si>
  <si>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</si>
  <si>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</si>
  <si>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</si>
  <si>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</si>
  <si>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</si>
  <si>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</si>
  <si>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</si>
  <si>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</si>
  <si>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</si>
  <si>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</si>
  <si>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</si>
  <si>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</si>
  <si>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</si>
  <si>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</si>
  <si>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</si>
  <si>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</si>
  <si>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</si>
  <si>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</si>
  <si>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</si>
  <si>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</si>
  <si>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</si>
  <si>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</si>
  <si>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</si>
  <si>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</si>
  <si>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</si>
  <si>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</si>
  <si>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</si>
  <si>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</si>
  <si>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</si>
  <si>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</si>
  <si>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</si>
  <si>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</si>
  <si>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</si>
  <si>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</si>
  <si>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</si>
  <si>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</si>
  <si>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</si>
  <si>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</si>
  <si>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</si>
  <si>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</si>
  <si>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</si>
  <si>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</si>
  <si>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</si>
  <si>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</si>
  <si>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</si>
  <si>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</si>
  <si>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</si>
  <si>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</si>
  <si>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</si>
  <si>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</si>
  <si>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</si>
  <si>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</si>
  <si>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</si>
  <si>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</si>
  <si>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</si>
  <si>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</si>
  <si>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</si>
  <si>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</si>
  <si>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</si>
  <si>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</si>
  <si>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</si>
  <si>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</si>
  <si>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</si>
  <si>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</si>
  <si>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</si>
  <si>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</si>
  <si>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</si>
  <si>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</si>
  <si>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</si>
  <si>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</si>
  <si>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</si>
  <si>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</si>
  <si>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</si>
  <si>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</si>
  <si>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</si>
  <si>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</si>
  <si>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</si>
  <si>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</si>
  <si>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Byggemodninger</t>
  </si>
  <si>
    <t>Separeringer</t>
  </si>
  <si>
    <t>Ingen engangstillæg</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</si>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</sst>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7" fillId="3" borderId="1" xfId="0" applyFont="1" applyFill="1" applyBorder="1" applyAlignment="1" applyProtection="1">
      <alignment horizontal="center"/>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eBY8oDgJ+9qEHRFxLjNm7fEWBCvcq8tpCfNcQiXxis8tjkDKO6fTO0bBCQHZz3rM7+DmSMkyi+YhtVlmRW0HSA==" saltValue="NPcrA2D43zLdrV+T0lVNX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7" t="s">
        <v>240</v>
      </c>
      <c r="D9" s="11"/>
      <c r="E9" s="1"/>
      <c r="F9" s="1"/>
    </row>
    <row r="10" spans="1:6" x14ac:dyDescent="0.25">
      <c r="A10" s="1"/>
      <c r="B10" s="93" t="s">
        <v>265</v>
      </c>
      <c r="C10" s="9">
        <v>14414636</v>
      </c>
      <c r="D10" s="14" t="s">
        <v>3</v>
      </c>
      <c r="E10" s="1"/>
      <c r="F10" s="1"/>
    </row>
    <row r="11" spans="1:6" x14ac:dyDescent="0.25">
      <c r="A11" s="1"/>
      <c r="B11" s="93" t="s">
        <v>266</v>
      </c>
      <c r="C11" s="9">
        <v>157331</v>
      </c>
      <c r="D11" s="14" t="s">
        <v>3</v>
      </c>
      <c r="E11" s="1"/>
      <c r="F11" s="1"/>
    </row>
    <row r="12" spans="1:6" x14ac:dyDescent="0.25">
      <c r="A12" s="1"/>
      <c r="B12" s="93" t="s">
        <v>267</v>
      </c>
      <c r="C12" s="9">
        <v>813615</v>
      </c>
      <c r="D12" s="14" t="s">
        <v>3</v>
      </c>
      <c r="E12" s="1"/>
      <c r="F12" s="1"/>
    </row>
    <row r="13" spans="1:6" x14ac:dyDescent="0.25">
      <c r="A13" s="1"/>
      <c r="B13" s="93" t="s">
        <v>268</v>
      </c>
      <c r="C13" s="9">
        <v>173945</v>
      </c>
      <c r="D13" s="14" t="s">
        <v>3</v>
      </c>
      <c r="E13" s="1"/>
      <c r="F13" s="1"/>
    </row>
    <row r="14" spans="1:6" x14ac:dyDescent="0.25">
      <c r="A14" s="1"/>
      <c r="B14" s="93" t="s">
        <v>269</v>
      </c>
      <c r="C14" s="9">
        <v>24100</v>
      </c>
      <c r="D14" s="14" t="s">
        <v>3</v>
      </c>
      <c r="E14" s="1"/>
      <c r="F14" s="1"/>
    </row>
    <row r="15" spans="1:6" x14ac:dyDescent="0.25">
      <c r="A15" s="1"/>
      <c r="B15" s="32" t="s">
        <v>200</v>
      </c>
      <c r="C15" s="12">
        <f>SUM(C10:C14)</f>
        <v>15583627</v>
      </c>
      <c r="D15" s="13" t="s">
        <v>3</v>
      </c>
      <c r="E15" s="1"/>
      <c r="F15" s="1"/>
    </row>
    <row r="16" spans="1:6" x14ac:dyDescent="0.25">
      <c r="A16" s="1"/>
      <c r="B16" s="32" t="s">
        <v>201</v>
      </c>
      <c r="C16" s="12">
        <f>C15*(1+'Fane 15. Nøgletal'!C15)^2</f>
        <v>16712931.307914721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7" t="s">
        <v>117</v>
      </c>
      <c r="C19" s="128"/>
      <c r="D19" s="129"/>
      <c r="E19" s="1"/>
      <c r="F19" s="1"/>
    </row>
    <row r="20" spans="1:6" x14ac:dyDescent="0.25">
      <c r="A20" s="1"/>
      <c r="B20" s="93" t="s">
        <v>99</v>
      </c>
      <c r="C20" s="9">
        <v>0</v>
      </c>
      <c r="D20" s="14" t="s">
        <v>3</v>
      </c>
      <c r="E20" s="1"/>
      <c r="F20" s="1"/>
    </row>
    <row r="21" spans="1:6" x14ac:dyDescent="0.25">
      <c r="A21" s="1"/>
      <c r="B21" s="93" t="s">
        <v>129</v>
      </c>
      <c r="C21" s="9">
        <v>0</v>
      </c>
      <c r="D21" s="14" t="s">
        <v>3</v>
      </c>
      <c r="E21" s="1"/>
      <c r="F21" s="1"/>
    </row>
    <row r="22" spans="1:6" x14ac:dyDescent="0.25">
      <c r="A22" s="1"/>
      <c r="B22" s="93" t="s">
        <v>155</v>
      </c>
      <c r="C22" s="9">
        <v>0</v>
      </c>
      <c r="D22" s="14" t="s">
        <v>3</v>
      </c>
      <c r="E22" s="1"/>
      <c r="F22" s="1"/>
    </row>
    <row r="23" spans="1:6" x14ac:dyDescent="0.25">
      <c r="A23" s="1"/>
      <c r="B23" s="33" t="s">
        <v>202</v>
      </c>
      <c r="C23" s="9">
        <v>0</v>
      </c>
      <c r="D23" s="40" t="s">
        <v>3</v>
      </c>
      <c r="E23" s="1"/>
      <c r="F23" s="1"/>
    </row>
    <row r="24" spans="1:6" x14ac:dyDescent="0.25">
      <c r="A24" s="1"/>
      <c r="B24" s="127"/>
      <c r="C24" s="128"/>
      <c r="D24" s="129"/>
      <c r="E24" s="1"/>
      <c r="F24" s="1"/>
    </row>
    <row r="25" spans="1:6" x14ac:dyDescent="0.25">
      <c r="A25" s="1"/>
      <c r="B25" s="1"/>
      <c r="C25" s="1"/>
      <c r="D25" s="1"/>
      <c r="E25" s="1"/>
      <c r="F25" s="1"/>
    </row>
    <row r="26" spans="1:6" x14ac:dyDescent="0.25">
      <c r="A26" s="1"/>
      <c r="B26" s="1"/>
      <c r="C26" s="1"/>
      <c r="D26" s="1"/>
      <c r="E26" s="1"/>
      <c r="F26" s="1"/>
    </row>
    <row r="27" spans="1:6" x14ac:dyDescent="0.25">
      <c r="A27" s="1"/>
      <c r="B27" s="127" t="s">
        <v>98</v>
      </c>
      <c r="C27" s="128"/>
      <c r="D27" s="129"/>
      <c r="E27" s="1"/>
      <c r="F27" s="1"/>
    </row>
    <row r="28" spans="1:6" x14ac:dyDescent="0.25">
      <c r="A28" s="1"/>
      <c r="B28" s="93" t="s">
        <v>99</v>
      </c>
      <c r="C28" s="9">
        <v>0</v>
      </c>
      <c r="D28" s="14" t="s">
        <v>3</v>
      </c>
      <c r="E28" s="1"/>
      <c r="F28" s="1"/>
    </row>
    <row r="29" spans="1:6" x14ac:dyDescent="0.25">
      <c r="A29" s="1"/>
      <c r="B29" s="93" t="s">
        <v>129</v>
      </c>
      <c r="C29" s="9">
        <v>0</v>
      </c>
      <c r="D29" s="14" t="s">
        <v>3</v>
      </c>
      <c r="E29" s="1"/>
      <c r="F29" s="1"/>
    </row>
    <row r="30" spans="1:6" x14ac:dyDescent="0.25">
      <c r="A30" s="1"/>
      <c r="B30" s="93" t="s">
        <v>155</v>
      </c>
      <c r="C30" s="9">
        <v>0</v>
      </c>
      <c r="D30" s="14" t="s">
        <v>3</v>
      </c>
      <c r="E30" s="1"/>
      <c r="F30" s="1"/>
    </row>
    <row r="31" spans="1:6" x14ac:dyDescent="0.25">
      <c r="A31" s="1"/>
      <c r="B31" s="33" t="s">
        <v>202</v>
      </c>
      <c r="C31" s="9">
        <v>0</v>
      </c>
      <c r="D31" s="40" t="s">
        <v>3</v>
      </c>
      <c r="E31" s="1"/>
      <c r="F31" s="1"/>
    </row>
    <row r="32" spans="1:6" x14ac:dyDescent="0.25">
      <c r="A32" s="1"/>
      <c r="B32" s="127"/>
      <c r="C32" s="128"/>
      <c r="D32" s="129"/>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8"/>
      <c r="B49" s="48"/>
      <c r="C49" s="48"/>
      <c r="D49" s="48"/>
      <c r="E49" s="48"/>
      <c r="F49" s="48"/>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sheetData>
  <sheetProtection algorithmName="SHA-512" hashValue="rJ/9acmy9lgAUmOArkDB3WcyKKfyj6qq3xM06HkskdrqT5rED4bnk/IWT4exwQ/MAAi5sNGKWgBHgRGZ//cyYw==" saltValue="S1QSXUuM5Dk8jfMIKLINPA=="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1.28515625" style="2" customWidth="1"/>
    <col min="5" max="5" width="15.4257812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89"/>
      <c r="C5" s="89"/>
      <c r="D5" s="89"/>
      <c r="E5" s="89"/>
      <c r="F5" s="89"/>
      <c r="G5" s="1"/>
    </row>
    <row r="6" spans="1:7" ht="15" customHeight="1" x14ac:dyDescent="0.25">
      <c r="A6" s="1"/>
      <c r="B6" s="89"/>
      <c r="C6" s="89"/>
      <c r="D6" s="89"/>
      <c r="E6" s="89"/>
      <c r="F6" s="89"/>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3340575.0312022269</v>
      </c>
      <c r="F9" s="14" t="s">
        <v>3</v>
      </c>
      <c r="G9" s="1"/>
    </row>
    <row r="10" spans="1:7" x14ac:dyDescent="0.25">
      <c r="A10" s="1"/>
      <c r="B10" s="137" t="s">
        <v>263</v>
      </c>
      <c r="C10" s="138"/>
      <c r="D10" s="139"/>
      <c r="E10" s="9">
        <v>3340575.0312022269</v>
      </c>
      <c r="F10" s="14" t="s">
        <v>3</v>
      </c>
      <c r="G10" s="1"/>
    </row>
    <row r="11" spans="1:7" x14ac:dyDescent="0.25">
      <c r="A11" s="1"/>
      <c r="B11" s="32"/>
      <c r="C11" s="27"/>
      <c r="D11" s="27"/>
      <c r="E11" s="27"/>
      <c r="F11" s="19"/>
      <c r="G11" s="1"/>
    </row>
    <row r="12" spans="1:7" ht="87" customHeight="1" x14ac:dyDescent="0.25">
      <c r="A12" s="1"/>
      <c r="B12" s="130" t="s">
        <v>289</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284</v>
      </c>
      <c r="C15" s="138"/>
      <c r="D15" s="139"/>
      <c r="E15" s="9">
        <v>0</v>
      </c>
      <c r="F15" s="14" t="s">
        <v>3</v>
      </c>
      <c r="G15" s="1"/>
    </row>
    <row r="16" spans="1:7" x14ac:dyDescent="0.25">
      <c r="A16" s="1"/>
      <c r="B16" s="137" t="s">
        <v>285</v>
      </c>
      <c r="C16" s="138"/>
      <c r="D16" s="139"/>
      <c r="E16" s="9">
        <v>0</v>
      </c>
      <c r="F16" s="14" t="s">
        <v>3</v>
      </c>
      <c r="G16" s="1"/>
    </row>
    <row r="17" spans="1:7" x14ac:dyDescent="0.25">
      <c r="A17" s="1"/>
      <c r="B17" s="32"/>
      <c r="C17" s="27"/>
      <c r="D17" s="27"/>
      <c r="E17" s="27"/>
      <c r="F17" s="19"/>
      <c r="G17" s="1"/>
    </row>
    <row r="18" spans="1:7" ht="31.5" customHeight="1" x14ac:dyDescent="0.25">
      <c r="A18" s="1"/>
      <c r="B18" s="130" t="s">
        <v>290</v>
      </c>
      <c r="C18" s="131"/>
      <c r="D18" s="131"/>
      <c r="E18" s="131"/>
      <c r="F18" s="132"/>
      <c r="G18" s="1"/>
    </row>
    <row r="19" spans="1:7" ht="28.5" customHeight="1" x14ac:dyDescent="0.25">
      <c r="A19" s="1"/>
      <c r="B19" s="1"/>
      <c r="C19" s="1"/>
      <c r="D19" s="1"/>
      <c r="E19" s="1"/>
      <c r="F19" s="1"/>
      <c r="G19" s="1"/>
    </row>
    <row r="20" spans="1:7" ht="28.5" customHeight="1" x14ac:dyDescent="0.25">
      <c r="A20" s="1"/>
      <c r="B20" s="84" t="s">
        <v>205</v>
      </c>
      <c r="C20" s="85"/>
      <c r="D20" s="85"/>
      <c r="E20" s="85"/>
      <c r="F20" s="86"/>
      <c r="G20" s="1"/>
    </row>
    <row r="21" spans="1:7" x14ac:dyDescent="0.25">
      <c r="A21" s="1"/>
      <c r="B21" s="90" t="s">
        <v>206</v>
      </c>
      <c r="C21" s="91"/>
      <c r="D21" s="92"/>
      <c r="E21" s="9">
        <v>162117597.9313232</v>
      </c>
      <c r="F21" s="14" t="s">
        <v>3</v>
      </c>
      <c r="G21" s="1"/>
    </row>
    <row r="22" spans="1:7" x14ac:dyDescent="0.25">
      <c r="A22" s="1"/>
      <c r="B22" s="90" t="s">
        <v>207</v>
      </c>
      <c r="C22" s="91"/>
      <c r="D22" s="92"/>
      <c r="E22" s="9">
        <v>161087481</v>
      </c>
      <c r="F22" s="14" t="s">
        <v>3</v>
      </c>
      <c r="G22" s="1"/>
    </row>
    <row r="23" spans="1:7" x14ac:dyDescent="0.25">
      <c r="A23" s="1"/>
      <c r="B23" s="90" t="s">
        <v>33</v>
      </c>
      <c r="C23" s="91"/>
      <c r="D23" s="92"/>
      <c r="E23" s="9">
        <v>0</v>
      </c>
      <c r="F23" s="14" t="s">
        <v>3</v>
      </c>
      <c r="G23" s="1"/>
    </row>
    <row r="24" spans="1:7" x14ac:dyDescent="0.25">
      <c r="A24" s="1"/>
      <c r="B24" s="87" t="s">
        <v>270</v>
      </c>
      <c r="C24" s="88"/>
      <c r="D24" s="95"/>
      <c r="E24" s="71">
        <f>E21-(E22-E23)</f>
        <v>1030116.9313232005</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286</v>
      </c>
      <c r="C27" s="128"/>
      <c r="D27" s="128"/>
      <c r="E27" s="128"/>
      <c r="F27" s="129"/>
      <c r="G27" s="1"/>
    </row>
    <row r="28" spans="1:7" x14ac:dyDescent="0.25">
      <c r="A28" s="1"/>
      <c r="B28" s="133" t="s">
        <v>287</v>
      </c>
      <c r="C28" s="134"/>
      <c r="D28" s="155"/>
      <c r="E28" s="72">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6" t="s">
        <v>143</v>
      </c>
      <c r="C32" s="157"/>
      <c r="D32" s="158"/>
      <c r="E32" s="73">
        <f>IF(AND(E9&gt;0,(E9+E24)&gt;0),0,IF(AND(E9&gt;0,(E9+E24)&lt;0),(E9+E24),IF(AND(E9&lt;0,E24&lt;0),E24,0)))</f>
        <v>0</v>
      </c>
      <c r="F32" s="14" t="s">
        <v>3</v>
      </c>
      <c r="G32" s="1"/>
    </row>
    <row r="33" spans="1:7" x14ac:dyDescent="0.25">
      <c r="A33" s="1"/>
      <c r="B33" s="156" t="s">
        <v>102</v>
      </c>
      <c r="C33" s="157"/>
      <c r="D33" s="158"/>
      <c r="E33" s="9">
        <v>4</v>
      </c>
      <c r="F33" s="14" t="s">
        <v>20</v>
      </c>
      <c r="G33" s="1"/>
    </row>
    <row r="34" spans="1:7" x14ac:dyDescent="0.25">
      <c r="A34" s="1"/>
      <c r="B34" s="151" t="s">
        <v>144</v>
      </c>
      <c r="C34" s="151"/>
      <c r="D34" s="151"/>
      <c r="E34" s="72">
        <f>E32/E33</f>
        <v>0</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FkwnpqrDLO2mHL4pNac568zoEUw3//Xl+IKGr7rbyQVQrwDSCsG5NgDxeJd/j12t0nvSMSGs+QLgqea0Mg5Ltw==" saltValue="f7sXC+LVviTTJmjFXpE/DQ=="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8" customWidth="1"/>
    <col min="2" max="2" width="22.5703125" style="68" customWidth="1"/>
    <col min="3" max="3" width="8.28515625" style="68" customWidth="1"/>
    <col min="4" max="6" width="10.7109375" style="68" customWidth="1"/>
    <col min="7" max="7" width="11.140625" style="68" customWidth="1"/>
    <col min="8" max="8" width="3.28515625" style="68" customWidth="1"/>
    <col min="9" max="9" width="4.85546875" style="68" customWidth="1"/>
    <col min="10" max="16384" width="9.140625" style="6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9" t="s">
        <v>272</v>
      </c>
      <c r="C10" s="160"/>
      <c r="D10" s="160"/>
      <c r="E10" s="160"/>
      <c r="F10" s="161"/>
      <c r="G10" s="9">
        <v>0</v>
      </c>
      <c r="H10" s="9" t="s">
        <v>3</v>
      </c>
      <c r="I10" s="1"/>
    </row>
    <row r="11" spans="1:9" x14ac:dyDescent="0.25">
      <c r="A11" s="1"/>
      <c r="B11" s="159" t="s">
        <v>273</v>
      </c>
      <c r="C11" s="160"/>
      <c r="D11" s="160"/>
      <c r="E11" s="160"/>
      <c r="F11" s="161"/>
      <c r="G11" s="9">
        <v>0</v>
      </c>
      <c r="H11" s="9" t="s">
        <v>3</v>
      </c>
      <c r="I11" s="1"/>
    </row>
    <row r="12" spans="1:9" x14ac:dyDescent="0.25">
      <c r="A12" s="1"/>
      <c r="B12" s="159" t="s">
        <v>274</v>
      </c>
      <c r="C12" s="160"/>
      <c r="D12" s="160"/>
      <c r="E12" s="160"/>
      <c r="F12" s="161"/>
      <c r="G12" s="9">
        <v>0</v>
      </c>
      <c r="H12" s="9" t="s">
        <v>3</v>
      </c>
      <c r="I12" s="1"/>
    </row>
    <row r="13" spans="1:9" x14ac:dyDescent="0.25">
      <c r="A13" s="1"/>
      <c r="B13" s="159" t="s">
        <v>275</v>
      </c>
      <c r="C13" s="160"/>
      <c r="D13" s="160"/>
      <c r="E13" s="160"/>
      <c r="F13" s="161"/>
      <c r="G13" s="9">
        <v>0</v>
      </c>
      <c r="H13" s="9" t="s">
        <v>3</v>
      </c>
      <c r="I13" s="1"/>
    </row>
    <row r="14" spans="1:9" x14ac:dyDescent="0.25">
      <c r="A14" s="1"/>
      <c r="B14" s="159" t="s">
        <v>276</v>
      </c>
      <c r="C14" s="160"/>
      <c r="D14" s="160"/>
      <c r="E14" s="160"/>
      <c r="F14" s="161"/>
      <c r="G14" s="9">
        <v>0</v>
      </c>
      <c r="H14" s="9" t="s">
        <v>3</v>
      </c>
      <c r="I14" s="1"/>
    </row>
    <row r="15" spans="1:9" x14ac:dyDescent="0.25">
      <c r="A15" s="1"/>
      <c r="B15" s="159" t="s">
        <v>277</v>
      </c>
      <c r="C15" s="160"/>
      <c r="D15" s="160"/>
      <c r="E15" s="160"/>
      <c r="F15" s="161"/>
      <c r="G15" s="9">
        <v>0</v>
      </c>
      <c r="H15" s="9" t="s">
        <v>3</v>
      </c>
      <c r="I15" s="1"/>
    </row>
    <row r="16" spans="1:9" x14ac:dyDescent="0.25">
      <c r="A16" s="1"/>
      <c r="B16" s="159" t="s">
        <v>278</v>
      </c>
      <c r="C16" s="160"/>
      <c r="D16" s="160"/>
      <c r="E16" s="160"/>
      <c r="F16" s="161"/>
      <c r="G16" s="9">
        <v>0</v>
      </c>
      <c r="H16" s="9" t="s">
        <v>3</v>
      </c>
      <c r="I16" s="1"/>
    </row>
    <row r="17" spans="1:9" x14ac:dyDescent="0.25">
      <c r="A17" s="1"/>
      <c r="B17" s="159" t="s">
        <v>279</v>
      </c>
      <c r="C17" s="160"/>
      <c r="D17" s="160"/>
      <c r="E17" s="160"/>
      <c r="F17" s="161"/>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N8Tm83iZ+RBAP1UkHlKGDrrS6xh1dAY2TduzoMvE1NC1RQlyIhdY1GYVjt36KPiujf0Flv6eFoFsDHMnsXN9Mw==" saltValue="gI7lij1EU3LXxPyJ20T3Qw=="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0</v>
      </c>
      <c r="F10" s="8" t="s">
        <v>3</v>
      </c>
      <c r="G10" s="1"/>
    </row>
    <row r="11" spans="1:7" x14ac:dyDescent="0.25">
      <c r="A11" s="1"/>
      <c r="B11" s="137" t="s">
        <v>209</v>
      </c>
      <c r="C11" s="138"/>
      <c r="D11" s="139"/>
      <c r="E11" s="7">
        <v>0</v>
      </c>
      <c r="F11" s="8" t="s">
        <v>3</v>
      </c>
      <c r="G11" s="1"/>
    </row>
    <row r="12" spans="1:7" x14ac:dyDescent="0.25">
      <c r="A12" s="1"/>
      <c r="B12" s="133" t="s">
        <v>101</v>
      </c>
      <c r="C12" s="134"/>
      <c r="D12" s="155"/>
      <c r="E12" s="10">
        <f>E11-E10</f>
        <v>0</v>
      </c>
      <c r="F12" s="11" t="s">
        <v>3</v>
      </c>
      <c r="G12" s="1"/>
    </row>
    <row r="13" spans="1:7" x14ac:dyDescent="0.25">
      <c r="A13" s="1"/>
      <c r="B13" s="127" t="s">
        <v>94</v>
      </c>
      <c r="C13" s="128"/>
      <c r="D13" s="128"/>
      <c r="E13" s="128"/>
      <c r="F13" s="129"/>
      <c r="G13" s="1"/>
    </row>
    <row r="14" spans="1:7" x14ac:dyDescent="0.25">
      <c r="A14" s="1"/>
      <c r="B14" s="137" t="s">
        <v>210</v>
      </c>
      <c r="C14" s="138"/>
      <c r="D14" s="139"/>
      <c r="E14" s="9">
        <v>0</v>
      </c>
      <c r="F14" s="8" t="s">
        <v>3</v>
      </c>
      <c r="G14" s="1"/>
    </row>
    <row r="15" spans="1:7" x14ac:dyDescent="0.25">
      <c r="A15" s="1"/>
      <c r="B15" s="130" t="s">
        <v>211</v>
      </c>
      <c r="C15" s="131"/>
      <c r="D15" s="132"/>
      <c r="E15" s="9">
        <v>0</v>
      </c>
      <c r="F15" s="8" t="s">
        <v>3</v>
      </c>
      <c r="G15" s="1"/>
    </row>
    <row r="16" spans="1:7" x14ac:dyDescent="0.25">
      <c r="A16" s="1"/>
      <c r="B16" s="133" t="s">
        <v>101</v>
      </c>
      <c r="C16" s="134"/>
      <c r="D16" s="155"/>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6vDY7SG86zgaIOHSxKs95r2A1hu9xO+1mE1pfToOo/bd6o9rmHZN18sEk++qj0+C0h3ZFSUqHU8OQOdTcDIbw==" saltValue="lO/1fvMG6lfFtbhFUj3if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6" t="s">
        <v>280</v>
      </c>
      <c r="C10" s="41">
        <v>0</v>
      </c>
      <c r="D10" s="9">
        <v>0</v>
      </c>
      <c r="E10" s="14" t="s">
        <v>3</v>
      </c>
      <c r="F10" s="9">
        <f>IFERROR(D10/C10,0)</f>
        <v>0</v>
      </c>
      <c r="G10" s="14" t="s">
        <v>3</v>
      </c>
      <c r="H10" s="44">
        <v>0</v>
      </c>
      <c r="I10" s="14" t="s">
        <v>3</v>
      </c>
      <c r="J10" s="44">
        <v>0</v>
      </c>
      <c r="K10" s="14" t="s">
        <v>3</v>
      </c>
      <c r="L10" s="1"/>
    </row>
    <row r="11" spans="1:12" x14ac:dyDescent="0.25">
      <c r="A11" s="1"/>
      <c r="B11" s="84" t="s">
        <v>220</v>
      </c>
      <c r="C11" s="85"/>
      <c r="D11" s="86"/>
      <c r="E11" s="86"/>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zN/0XkL659lVDe4jaQKPOE8S9aEVH9Yp9Y4G2l8pMF9NihxKHaUEXlTHBs4llDGgwy30yK7GdEf3gcjbV3sBgw==" saltValue="PMIikS0aeXEpGJ96YDFW2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2" t="s">
        <v>17</v>
      </c>
      <c r="C9" s="82" t="s">
        <v>11</v>
      </c>
      <c r="D9" s="83"/>
      <c r="E9" s="82"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282</v>
      </c>
      <c r="C11" s="21">
        <v>227289</v>
      </c>
      <c r="D11" s="14" t="s">
        <v>3</v>
      </c>
      <c r="E11" s="9">
        <v>1106023</v>
      </c>
      <c r="F11" s="14" t="s">
        <v>3</v>
      </c>
      <c r="G11" s="1"/>
    </row>
    <row r="12" spans="1:7" x14ac:dyDescent="0.25">
      <c r="A12" s="1"/>
      <c r="B12" s="23" t="s">
        <v>281</v>
      </c>
      <c r="C12" s="21">
        <v>1352716</v>
      </c>
      <c r="D12" s="14" t="s">
        <v>3</v>
      </c>
      <c r="E12" s="9">
        <f>322668+730336</f>
        <v>1053004</v>
      </c>
      <c r="F12" s="14" t="s">
        <v>3</v>
      </c>
      <c r="G12" s="1"/>
    </row>
    <row r="13" spans="1:7" x14ac:dyDescent="0.25">
      <c r="A13" s="1"/>
      <c r="B13" s="32" t="s">
        <v>156</v>
      </c>
      <c r="C13" s="12">
        <f>SUM(C10:C12)</f>
        <v>1580005</v>
      </c>
      <c r="D13" s="13" t="s">
        <v>3</v>
      </c>
      <c r="E13" s="12">
        <f>SUM(E10:E12)</f>
        <v>2159027</v>
      </c>
      <c r="F13" s="13" t="s">
        <v>3</v>
      </c>
      <c r="G13" s="1"/>
    </row>
    <row r="14" spans="1:7" x14ac:dyDescent="0.25">
      <c r="A14" s="1"/>
      <c r="B14" s="32" t="s">
        <v>213</v>
      </c>
      <c r="C14" s="12">
        <f>C13*(1+'Fane 15. Nøgletal'!C15)</f>
        <v>1636253.1780000001</v>
      </c>
      <c r="D14" s="13" t="s">
        <v>3</v>
      </c>
      <c r="E14" s="12">
        <f>E13*(1+'Fane 15. Nøgletal'!C15)</f>
        <v>2235888.3612000002</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sQTseWXJgG5UteBj4lBXrgau2VSu7CVmOflpzG/jQRcbOZvwJG7DnDFu9S4a4doK9cxf5xqPb2bskmG1QYOXQ==" saltValue="ZtlD654AitUs8y4F+s3A3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2" t="s">
        <v>17</v>
      </c>
      <c r="C9" s="82" t="s">
        <v>11</v>
      </c>
      <c r="D9" s="83"/>
      <c r="E9" s="82" t="s">
        <v>31</v>
      </c>
      <c r="F9" s="31"/>
      <c r="G9" s="1"/>
    </row>
    <row r="10" spans="1:7" x14ac:dyDescent="0.25">
      <c r="A10" s="1"/>
      <c r="B10" s="23" t="s">
        <v>283</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59"/>
      <c r="C15" s="59"/>
      <c r="D15" s="59"/>
      <c r="E15" s="59"/>
      <c r="F15" s="60"/>
      <c r="G15" s="1"/>
    </row>
    <row r="16" spans="1:7" x14ac:dyDescent="0.25">
      <c r="A16" s="1"/>
      <c r="B16" s="61"/>
      <c r="C16" s="62"/>
      <c r="D16" s="63"/>
      <c r="E16" s="64"/>
      <c r="F16" s="63"/>
      <c r="G16" s="1"/>
    </row>
    <row r="17" spans="1:7" x14ac:dyDescent="0.25">
      <c r="A17" s="1"/>
      <c r="B17" s="61"/>
      <c r="C17" s="62"/>
      <c r="D17" s="63"/>
      <c r="E17" s="64"/>
      <c r="F17" s="63"/>
      <c r="G17" s="1"/>
    </row>
    <row r="18" spans="1:7" x14ac:dyDescent="0.25">
      <c r="A18" s="1"/>
      <c r="B18" s="65"/>
      <c r="C18" s="66"/>
      <c r="D18" s="67"/>
      <c r="E18" s="66"/>
      <c r="F18" s="67"/>
      <c r="G18" s="1"/>
    </row>
    <row r="19" spans="1:7" x14ac:dyDescent="0.25">
      <c r="A19" s="1"/>
      <c r="B19" s="65"/>
      <c r="C19" s="66"/>
      <c r="D19" s="67"/>
      <c r="E19" s="66"/>
      <c r="F19" s="67"/>
      <c r="G19" s="1"/>
    </row>
    <row r="20" spans="1:7" x14ac:dyDescent="0.25">
      <c r="A20" s="1"/>
      <c r="B20" s="58"/>
      <c r="C20" s="58"/>
      <c r="D20" s="58"/>
      <c r="E20" s="58"/>
      <c r="F20" s="58"/>
      <c r="G20" s="1"/>
    </row>
    <row r="21" spans="1:7" x14ac:dyDescent="0.25">
      <c r="A21" s="1"/>
      <c r="B21" s="164"/>
      <c r="C21" s="164"/>
      <c r="D21" s="164"/>
      <c r="E21" s="164"/>
      <c r="F21" s="164"/>
      <c r="G21" s="1"/>
    </row>
    <row r="22" spans="1:7" x14ac:dyDescent="0.25">
      <c r="A22" s="1"/>
      <c r="B22" s="59"/>
      <c r="C22" s="59"/>
      <c r="D22" s="59"/>
      <c r="E22" s="59"/>
      <c r="F22" s="60"/>
      <c r="G22" s="1"/>
    </row>
    <row r="23" spans="1:7" x14ac:dyDescent="0.25">
      <c r="A23" s="1"/>
      <c r="B23" s="61"/>
      <c r="C23" s="62"/>
      <c r="D23" s="63"/>
      <c r="E23" s="64"/>
      <c r="F23" s="63"/>
      <c r="G23" s="1"/>
    </row>
    <row r="24" spans="1:7" x14ac:dyDescent="0.25">
      <c r="A24" s="1"/>
      <c r="B24" s="61"/>
      <c r="C24" s="62"/>
      <c r="D24" s="63"/>
      <c r="E24" s="64"/>
      <c r="F24" s="63"/>
      <c r="G24" s="1"/>
    </row>
    <row r="25" spans="1:7" x14ac:dyDescent="0.25">
      <c r="A25" s="1"/>
      <c r="B25" s="65"/>
      <c r="C25" s="66"/>
      <c r="D25" s="67"/>
      <c r="E25" s="66"/>
      <c r="F25" s="67"/>
      <c r="G25" s="1"/>
    </row>
    <row r="26" spans="1:7" x14ac:dyDescent="0.25">
      <c r="A26" s="1"/>
      <c r="B26" s="65"/>
      <c r="C26" s="66"/>
      <c r="D26" s="67"/>
      <c r="E26" s="66"/>
      <c r="F26" s="67"/>
      <c r="G26" s="1"/>
    </row>
    <row r="27" spans="1:7" x14ac:dyDescent="0.25">
      <c r="A27" s="1"/>
      <c r="B27" s="58"/>
      <c r="C27" s="58"/>
      <c r="D27" s="58"/>
      <c r="E27" s="58"/>
      <c r="F27" s="58"/>
      <c r="G27" s="1"/>
    </row>
    <row r="28" spans="1:7" x14ac:dyDescent="0.25">
      <c r="A28" s="1"/>
      <c r="B28" s="164"/>
      <c r="C28" s="164"/>
      <c r="D28" s="164"/>
      <c r="E28" s="164"/>
      <c r="F28" s="164"/>
      <c r="G28" s="1"/>
    </row>
    <row r="29" spans="1:7" x14ac:dyDescent="0.25">
      <c r="A29" s="1"/>
      <c r="B29" s="59"/>
      <c r="C29" s="59"/>
      <c r="D29" s="59"/>
      <c r="E29" s="59"/>
      <c r="F29" s="60"/>
      <c r="G29" s="1"/>
    </row>
    <row r="30" spans="1:7" x14ac:dyDescent="0.25">
      <c r="A30" s="1"/>
      <c r="B30" s="61"/>
      <c r="C30" s="62"/>
      <c r="D30" s="63"/>
      <c r="E30" s="64"/>
      <c r="F30" s="63"/>
      <c r="G30" s="1"/>
    </row>
    <row r="31" spans="1:7" x14ac:dyDescent="0.25">
      <c r="A31" s="1"/>
      <c r="B31" s="61"/>
      <c r="C31" s="62"/>
      <c r="D31" s="63"/>
      <c r="E31" s="64"/>
      <c r="F31" s="63"/>
      <c r="G31" s="1"/>
    </row>
    <row r="32" spans="1:7" x14ac:dyDescent="0.25">
      <c r="A32" s="1"/>
      <c r="B32" s="65"/>
      <c r="C32" s="66"/>
      <c r="D32" s="67"/>
      <c r="E32" s="66"/>
      <c r="F32" s="67"/>
      <c r="G32" s="1"/>
    </row>
    <row r="33" spans="1:7" x14ac:dyDescent="0.25">
      <c r="A33" s="1"/>
      <c r="B33" s="65"/>
      <c r="C33" s="66"/>
      <c r="D33" s="67"/>
      <c r="E33" s="66"/>
      <c r="F33" s="67"/>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iSU+4jY5uV2Hu46aKOjCA+PfviQAYXFXKO7zhYbpPcp/yk657iIc7B4Pr3iAjeZADp26ig/aumtge49HqoSulA==" saltValue="Wk6q2AQR9qaxDydh9xr34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9" t="s">
        <v>224</v>
      </c>
      <c r="C10" s="160"/>
      <c r="D10" s="161"/>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9" t="s">
        <v>224</v>
      </c>
      <c r="C16" s="160"/>
      <c r="D16" s="161"/>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9" t="s">
        <v>224</v>
      </c>
      <c r="C22" s="160"/>
      <c r="D22" s="161"/>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9" t="s">
        <v>224</v>
      </c>
      <c r="C28" s="160"/>
      <c r="D28" s="161"/>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4vjNhyG43aqSbrz1r3ZgnAudE5xmpx7r2BVrEjCMIBkYDyZxVdN33+JWA6fX36pFsWzv4caGTyshRfMiSPrU/w==" saltValue="OH1Jha4Hhy/dNcJOC+ZZn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0WfcAImaXciX+cS6pYSt8B5g9sMpxb0znJXZIu+F+Bp9QgWeYfPfJ1PHTqt7apM6WQ5YwzJzXIl6JGao8JUDaw==" saltValue="4IHZcj/mPxByDFM5dyfR5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0"/>
      <c r="C16" s="60"/>
      <c r="D16" s="60"/>
      <c r="E16" s="60"/>
      <c r="F16" s="60"/>
      <c r="G16" s="1"/>
    </row>
    <row r="17" spans="1:7" x14ac:dyDescent="0.25">
      <c r="A17" s="1"/>
      <c r="B17" s="61"/>
      <c r="C17" s="64"/>
      <c r="D17" s="63"/>
      <c r="E17" s="64"/>
      <c r="F17" s="63"/>
      <c r="G17" s="1"/>
    </row>
    <row r="18" spans="1:7" x14ac:dyDescent="0.25">
      <c r="A18" s="1"/>
      <c r="B18" s="65"/>
      <c r="C18" s="66"/>
      <c r="D18" s="67"/>
      <c r="E18" s="66"/>
      <c r="F18" s="67"/>
      <c r="G18" s="1"/>
    </row>
    <row r="19" spans="1:7" x14ac:dyDescent="0.25">
      <c r="A19" s="1"/>
      <c r="B19" s="65"/>
      <c r="C19" s="66"/>
      <c r="D19" s="67"/>
      <c r="E19" s="66"/>
      <c r="F19" s="67"/>
      <c r="G19" s="1"/>
    </row>
    <row r="20" spans="1:7" x14ac:dyDescent="0.25">
      <c r="A20" s="1"/>
      <c r="B20" s="58"/>
      <c r="C20" s="58"/>
      <c r="D20" s="58"/>
      <c r="E20" s="58"/>
      <c r="F20" s="58"/>
      <c r="G20" s="1"/>
    </row>
    <row r="21" spans="1:7" x14ac:dyDescent="0.25">
      <c r="A21" s="1"/>
      <c r="B21" s="164"/>
      <c r="C21" s="164"/>
      <c r="D21" s="164"/>
      <c r="E21" s="164"/>
      <c r="F21" s="164"/>
      <c r="G21" s="1"/>
    </row>
    <row r="22" spans="1:7" x14ac:dyDescent="0.25">
      <c r="A22" s="1"/>
      <c r="B22" s="60"/>
      <c r="C22" s="60"/>
      <c r="D22" s="60"/>
      <c r="E22" s="60"/>
      <c r="F22" s="60"/>
      <c r="G22" s="1"/>
    </row>
    <row r="23" spans="1:7" x14ac:dyDescent="0.25">
      <c r="A23" s="1"/>
      <c r="B23" s="61"/>
      <c r="C23" s="64"/>
      <c r="D23" s="63"/>
      <c r="E23" s="64"/>
      <c r="F23" s="63"/>
      <c r="G23" s="1"/>
    </row>
    <row r="24" spans="1:7" x14ac:dyDescent="0.25">
      <c r="A24" s="1"/>
      <c r="B24" s="65"/>
      <c r="C24" s="66"/>
      <c r="D24" s="67"/>
      <c r="E24" s="66"/>
      <c r="F24" s="67"/>
      <c r="G24" s="1"/>
    </row>
    <row r="25" spans="1:7" x14ac:dyDescent="0.25">
      <c r="A25" s="1"/>
      <c r="B25" s="65"/>
      <c r="C25" s="66"/>
      <c r="D25" s="67"/>
      <c r="E25" s="66"/>
      <c r="F25" s="67"/>
      <c r="G25" s="1"/>
    </row>
    <row r="26" spans="1:7" x14ac:dyDescent="0.25">
      <c r="A26" s="1"/>
      <c r="B26" s="58"/>
      <c r="C26" s="58"/>
      <c r="D26" s="58"/>
      <c r="E26" s="58"/>
      <c r="F26" s="58"/>
      <c r="G26" s="1"/>
    </row>
    <row r="27" spans="1:7" x14ac:dyDescent="0.25">
      <c r="A27" s="1"/>
      <c r="B27" s="164"/>
      <c r="C27" s="164"/>
      <c r="D27" s="164"/>
      <c r="E27" s="164"/>
      <c r="F27" s="164"/>
      <c r="G27" s="1"/>
    </row>
    <row r="28" spans="1:7" x14ac:dyDescent="0.25">
      <c r="A28" s="1"/>
      <c r="B28" s="60"/>
      <c r="C28" s="60"/>
      <c r="D28" s="60"/>
      <c r="E28" s="60"/>
      <c r="F28" s="60"/>
      <c r="G28" s="1"/>
    </row>
    <row r="29" spans="1:7" x14ac:dyDescent="0.25">
      <c r="A29" s="1"/>
      <c r="B29" s="61"/>
      <c r="C29" s="64"/>
      <c r="D29" s="63"/>
      <c r="E29" s="64"/>
      <c r="F29" s="63"/>
      <c r="G29" s="1"/>
    </row>
    <row r="30" spans="1:7" x14ac:dyDescent="0.25">
      <c r="A30" s="1"/>
      <c r="B30" s="65"/>
      <c r="C30" s="66"/>
      <c r="D30" s="67"/>
      <c r="E30" s="66"/>
      <c r="F30" s="67"/>
      <c r="G30" s="1"/>
    </row>
    <row r="31" spans="1:7" x14ac:dyDescent="0.25">
      <c r="A31" s="1"/>
      <c r="B31" s="65"/>
      <c r="C31" s="66"/>
      <c r="D31" s="67"/>
      <c r="E31" s="66"/>
      <c r="F31" s="6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hDCGKgS0aYTVNUCJ+n8T/PF6ckOiphx+lKFseYJ/l4KDVNYABt1qER6iTilonuW3nU19qGZmehNW16+9gMuWDQ==" saltValue="pdEPSznneS5FwjsFM+VIP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151980984.38933131</v>
      </c>
      <c r="D9" s="8" t="s">
        <v>3</v>
      </c>
      <c r="E9" s="1"/>
    </row>
    <row r="10" spans="1:5" ht="17.25" customHeight="1" x14ac:dyDescent="0.25">
      <c r="A10" s="1"/>
      <c r="B10" s="81" t="s">
        <v>39</v>
      </c>
      <c r="C10" s="7">
        <f>'Fane 11.1. Varige tillæg'!C14</f>
        <v>1636253.1780000001</v>
      </c>
      <c r="D10" s="8" t="s">
        <v>3</v>
      </c>
      <c r="E10" s="1"/>
    </row>
    <row r="11" spans="1:5" ht="17.25" customHeight="1" x14ac:dyDescent="0.25">
      <c r="A11" s="1"/>
      <c r="B11" s="81" t="s">
        <v>40</v>
      </c>
      <c r="C11" s="9">
        <f>'Fane 11.1. Varige tillæg'!E14</f>
        <v>2235888.3612000002</v>
      </c>
      <c r="D11" s="8" t="s">
        <v>3</v>
      </c>
      <c r="E11" s="1"/>
    </row>
    <row r="12" spans="1:5" ht="17.25" customHeight="1" x14ac:dyDescent="0.25">
      <c r="A12" s="1"/>
      <c r="B12" s="81" t="s">
        <v>27</v>
      </c>
      <c r="C12" s="9">
        <f>-'Fane 14. Bortfald'!C13</f>
        <v>0</v>
      </c>
      <c r="D12" s="8" t="s">
        <v>3</v>
      </c>
      <c r="E12" s="1"/>
    </row>
    <row r="13" spans="1:5" ht="17.25" customHeight="1" x14ac:dyDescent="0.25">
      <c r="A13" s="1"/>
      <c r="B13" s="81" t="s">
        <v>26</v>
      </c>
      <c r="C13" s="9">
        <f>-'Fane 14. Bortfald'!E13</f>
        <v>0</v>
      </c>
      <c r="D13" s="8" t="s">
        <v>3</v>
      </c>
      <c r="E13" s="1"/>
    </row>
    <row r="14" spans="1:5" ht="17.25" customHeight="1" x14ac:dyDescent="0.25">
      <c r="A14" s="1"/>
      <c r="B14" s="81" t="s">
        <v>124</v>
      </c>
      <c r="C14" s="9">
        <f>'Fane 13. Tilknyttet virksomhed'!C12</f>
        <v>0</v>
      </c>
      <c r="D14" s="8" t="s">
        <v>3</v>
      </c>
      <c r="E14" s="1"/>
    </row>
    <row r="15" spans="1:5" ht="17.25" customHeight="1" x14ac:dyDescent="0.25">
      <c r="A15" s="1"/>
      <c r="B15" s="81" t="s">
        <v>125</v>
      </c>
      <c r="C15" s="9">
        <f>'Fane 13. Tilknyttet virksomhed'!E12</f>
        <v>0</v>
      </c>
      <c r="D15" s="8" t="s">
        <v>3</v>
      </c>
      <c r="E15" s="1"/>
    </row>
    <row r="16" spans="1:5" ht="17.25" customHeight="1" x14ac:dyDescent="0.25">
      <c r="A16" s="1"/>
      <c r="B16" s="81" t="s">
        <v>19</v>
      </c>
      <c r="C16" s="44">
        <f>SUM(C9)*'Fane 15. Nøgletal'!C14+SUM(C10:C15)*'Fane 15. Nøgletal'!C15</f>
        <v>639385.48728031339</v>
      </c>
      <c r="D16" s="8" t="s">
        <v>3</v>
      </c>
      <c r="E16" s="1"/>
    </row>
    <row r="17" spans="1:5" ht="17.25" customHeight="1" x14ac:dyDescent="0.25">
      <c r="A17" s="1"/>
      <c r="B17" s="81" t="s">
        <v>10</v>
      </c>
      <c r="C17" s="44">
        <f>-SUM(C9,C10:C16)*'Fane 5. Individuelt eff. krav'!G9</f>
        <v>-522002.41046378808</v>
      </c>
      <c r="D17" s="8" t="s">
        <v>3</v>
      </c>
      <c r="E17" s="1"/>
    </row>
    <row r="18" spans="1:5" ht="17.25" customHeight="1" x14ac:dyDescent="0.25">
      <c r="A18" s="1"/>
      <c r="B18" s="81" t="s">
        <v>24</v>
      </c>
      <c r="C18" s="44">
        <f>-'Fane 4.1. Gen. krav - drift'!G45</f>
        <v>-1042706.9299531333</v>
      </c>
      <c r="D18" s="8" t="s">
        <v>3</v>
      </c>
      <c r="E18" s="1"/>
    </row>
    <row r="19" spans="1:5" ht="17.25" customHeight="1" x14ac:dyDescent="0.25">
      <c r="A19" s="1"/>
      <c r="B19" s="81" t="s">
        <v>25</v>
      </c>
      <c r="C19" s="44">
        <f>-'Fane 4.2. Gen. krav - anlæg'!G43</f>
        <v>-1567027.5101866808</v>
      </c>
      <c r="D19" s="8" t="s">
        <v>3</v>
      </c>
      <c r="E19" s="47"/>
    </row>
    <row r="20" spans="1:5" ht="17.25" customHeight="1" x14ac:dyDescent="0.25">
      <c r="A20" s="1"/>
      <c r="B20" s="87" t="s">
        <v>21</v>
      </c>
      <c r="C20" s="10">
        <f>SUM(C9:C19)</f>
        <v>153360774.56520805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16712931.307914721</v>
      </c>
      <c r="D22" s="11" t="s">
        <v>3</v>
      </c>
      <c r="E22" s="1"/>
    </row>
    <row r="23" spans="1:5" ht="15" customHeight="1" x14ac:dyDescent="0.25">
      <c r="A23" s="1"/>
      <c r="B23" s="32" t="s">
        <v>86</v>
      </c>
      <c r="C23" s="27"/>
      <c r="D23" s="19"/>
      <c r="E23" s="1"/>
    </row>
    <row r="24" spans="1:5" ht="15" customHeight="1" x14ac:dyDescent="0.25">
      <c r="A24" s="1"/>
      <c r="B24" s="87" t="s">
        <v>86</v>
      </c>
      <c r="C24" s="10">
        <f>'Fane 12. Periodevise driftsomk.'!E13</f>
        <v>0</v>
      </c>
      <c r="D24" s="11" t="s">
        <v>3</v>
      </c>
      <c r="E24" s="1"/>
    </row>
    <row r="25" spans="1:5" ht="15" customHeight="1" x14ac:dyDescent="0.25">
      <c r="A25" s="1"/>
      <c r="B25" s="97" t="s">
        <v>85</v>
      </c>
      <c r="C25" s="45"/>
      <c r="D25" s="46"/>
      <c r="E25" s="1"/>
    </row>
    <row r="26" spans="1:5" ht="15" customHeight="1" x14ac:dyDescent="0.25">
      <c r="A26" s="1"/>
      <c r="B26" s="81" t="s">
        <v>231</v>
      </c>
      <c r="C26" s="74">
        <f>'Fane 11.2. Engangstillæg'!C12</f>
        <v>0</v>
      </c>
      <c r="D26" s="8" t="s">
        <v>3</v>
      </c>
      <c r="E26" s="1"/>
    </row>
    <row r="27" spans="1:5" ht="15" customHeight="1" x14ac:dyDescent="0.25">
      <c r="A27" s="1"/>
      <c r="B27" s="81" t="s">
        <v>82</v>
      </c>
      <c r="C27" s="74">
        <f>'Fane 11.2. Engangstillæg'!E12</f>
        <v>0</v>
      </c>
      <c r="D27" s="8" t="s">
        <v>3</v>
      </c>
      <c r="E27" s="1"/>
    </row>
    <row r="28" spans="1:5" ht="15" customHeight="1" x14ac:dyDescent="0.25">
      <c r="A28" s="1"/>
      <c r="B28" s="81" t="s">
        <v>238</v>
      </c>
      <c r="C28" s="74">
        <f>-C26*('Fane 15. Nøgletal'!C31+'Fane 5. Individuelt eff. krav'!G9)</f>
        <v>0</v>
      </c>
      <c r="D28" s="8" t="s">
        <v>3</v>
      </c>
      <c r="E28" s="1"/>
    </row>
    <row r="29" spans="1:5" ht="15" customHeight="1" x14ac:dyDescent="0.25">
      <c r="A29" s="1"/>
      <c r="B29" s="81" t="s">
        <v>239</v>
      </c>
      <c r="C29" s="74">
        <f>-C27*('Fane 15. Nøgletal'!C26+'Fane 5. Individuelt eff. krav'!G9)</f>
        <v>0</v>
      </c>
      <c r="D29" s="8" t="s">
        <v>3</v>
      </c>
      <c r="E29" s="1"/>
    </row>
    <row r="30" spans="1:5" ht="15" customHeight="1" x14ac:dyDescent="0.25">
      <c r="A30" s="1"/>
      <c r="B30" s="94"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4" t="s">
        <v>176</v>
      </c>
      <c r="C36" s="10">
        <f>'Fane 8. Skattesagen'!G12</f>
        <v>0</v>
      </c>
      <c r="D36" s="11" t="s">
        <v>3</v>
      </c>
      <c r="E36" s="1"/>
    </row>
    <row r="37" spans="1:5" x14ac:dyDescent="0.25">
      <c r="A37" s="1"/>
      <c r="B37" s="32" t="s">
        <v>90</v>
      </c>
      <c r="C37" s="56">
        <f>SUM(C34,C32,C24,C30,C22,C20,C36)</f>
        <v>170073705.87312278</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W1wnoqYWKr3WcKZw2qyyWot6MT/xpKHhbLTr+WaLKXeCQ0QaKtnPXjQCBOdS014ULkzBYdxoE9sznfXJyRkNQ==" saltValue="d3hTyvKaQGyknEg46qumF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3" t="s">
        <v>112</v>
      </c>
      <c r="C9" s="24">
        <v>1.2699999999999999E-2</v>
      </c>
      <c r="D9" s="1"/>
    </row>
    <row r="10" spans="1:4" x14ac:dyDescent="0.25">
      <c r="A10" s="1"/>
      <c r="B10" s="93" t="s">
        <v>113</v>
      </c>
      <c r="C10" s="24">
        <v>1.7500000000000002E-2</v>
      </c>
      <c r="D10" s="1"/>
    </row>
    <row r="11" spans="1:4" x14ac:dyDescent="0.25">
      <c r="A11" s="1"/>
      <c r="B11" s="93"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3" t="s">
        <v>171</v>
      </c>
      <c r="C14" s="42">
        <v>3.3E-3</v>
      </c>
      <c r="D14" s="1"/>
    </row>
    <row r="15" spans="1:4" x14ac:dyDescent="0.25">
      <c r="A15" s="1"/>
      <c r="B15" s="33" t="s">
        <v>223</v>
      </c>
      <c r="C15" s="69">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3" t="s">
        <v>114</v>
      </c>
      <c r="C20" s="22">
        <v>9.1000000000000004E-3</v>
      </c>
      <c r="D20" s="1"/>
    </row>
    <row r="21" spans="1:4" x14ac:dyDescent="0.25">
      <c r="A21" s="1"/>
      <c r="B21" s="93" t="s">
        <v>145</v>
      </c>
      <c r="C21" s="22">
        <v>1.77E-2</v>
      </c>
      <c r="D21" s="1"/>
    </row>
    <row r="22" spans="1:4" x14ac:dyDescent="0.25">
      <c r="A22" s="1"/>
      <c r="B22" s="93" t="s">
        <v>146</v>
      </c>
      <c r="C22" s="22">
        <v>8.6999999999999994E-3</v>
      </c>
      <c r="D22" s="1"/>
    </row>
    <row r="23" spans="1:4" x14ac:dyDescent="0.25">
      <c r="A23" s="1"/>
      <c r="B23" s="93" t="s">
        <v>115</v>
      </c>
      <c r="C23" s="35">
        <v>2.8400000000000002E-2</v>
      </c>
      <c r="D23" s="1"/>
    </row>
    <row r="24" spans="1:4" x14ac:dyDescent="0.25">
      <c r="A24" s="1"/>
      <c r="B24" s="93" t="s">
        <v>147</v>
      </c>
      <c r="C24" s="35">
        <v>2.75E-2</v>
      </c>
      <c r="D24" s="1"/>
    </row>
    <row r="25" spans="1:4" x14ac:dyDescent="0.25">
      <c r="A25" s="1"/>
      <c r="B25" s="93" t="s">
        <v>148</v>
      </c>
      <c r="C25" s="35">
        <v>1.4800000000000001E-2</v>
      </c>
      <c r="D25" s="1"/>
    </row>
    <row r="26" spans="1:4" x14ac:dyDescent="0.25">
      <c r="A26" s="1"/>
      <c r="B26" s="33" t="s">
        <v>216</v>
      </c>
      <c r="C26" s="70">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3"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qTIGTn4nqre1RXQ0xhDjl1LQ8WJ6+Gf5Y6Swq9pY65G11CoJAF5g+27PGSrS2OhUJvnaVk7JB8l0GPsUYdVq4Q==" saltValue="YgdgM4vfcYA/dg1zopTDu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153360774.56520805</v>
      </c>
      <c r="D9" s="8" t="s">
        <v>3</v>
      </c>
      <c r="E9" s="1"/>
    </row>
    <row r="10" spans="1:5" ht="15" customHeight="1" x14ac:dyDescent="0.25">
      <c r="A10" s="1"/>
      <c r="B10" s="25" t="s">
        <v>19</v>
      </c>
      <c r="C10" s="7">
        <f>SUM(C9:C9)*'Fane 15. Nøgletal'!C15</f>
        <v>5459643.5745214066</v>
      </c>
      <c r="D10" s="8" t="s">
        <v>3</v>
      </c>
      <c r="E10" s="1"/>
    </row>
    <row r="11" spans="1:5" ht="15" customHeight="1" x14ac:dyDescent="0.25">
      <c r="A11" s="1"/>
      <c r="B11" s="25" t="s">
        <v>10</v>
      </c>
      <c r="C11" s="9">
        <f>-SUM(C9:C10)*'Fane 5. Individuelt eff. krav'!G9</f>
        <v>-529767.46522727865</v>
      </c>
      <c r="D11" s="8" t="s">
        <v>3</v>
      </c>
      <c r="E11" s="1"/>
    </row>
    <row r="12" spans="1:5" ht="15" customHeight="1" x14ac:dyDescent="0.25">
      <c r="A12" s="1"/>
      <c r="B12" s="25" t="s">
        <v>24</v>
      </c>
      <c r="C12" s="9">
        <f>-'Fane 4.1. Gen. krav - drift'!G53</f>
        <v>-1058230.7507262756</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157232419.92377588</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omk.'!C21+'Fane 6. Ikke-påvirkelige omk.'!C29</f>
        <v>17307911.662476487</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4" t="s">
        <v>176</v>
      </c>
      <c r="C22" s="10">
        <f>'Fane 8. Skattesagen'!G13</f>
        <v>0</v>
      </c>
      <c r="D22" s="11" t="s">
        <v>3</v>
      </c>
      <c r="E22" s="1"/>
    </row>
    <row r="23" spans="1:5" x14ac:dyDescent="0.25">
      <c r="A23" s="1"/>
      <c r="B23" s="32" t="s">
        <v>128</v>
      </c>
      <c r="C23" s="12">
        <f>SUM(C14,C16,C18,C20,C22)</f>
        <v>174540331.58625236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nkfUBsIs1aZzIzIO/Fem+9GQPVoA6FQfHrisXOCHU8UgbzcKkDb8jSDAb/n8JV6DYWIN6nhO4XI2l+k615JZ6w==" saltValue="wKMAH3NdG89CAp0EUT6eY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157232419.92377588</v>
      </c>
      <c r="D9" s="8" t="s">
        <v>3</v>
      </c>
      <c r="E9" s="1"/>
    </row>
    <row r="10" spans="1:5" ht="15" customHeight="1" x14ac:dyDescent="0.25">
      <c r="A10" s="1"/>
      <c r="B10" s="25" t="s">
        <v>19</v>
      </c>
      <c r="C10" s="7">
        <f>SUM(C9:C9)*'Fane 15. Nøgletal'!C15</f>
        <v>5597474.149286421</v>
      </c>
      <c r="D10" s="8" t="s">
        <v>3</v>
      </c>
      <c r="E10" s="1"/>
    </row>
    <row r="11" spans="1:5" ht="15" customHeight="1" x14ac:dyDescent="0.25">
      <c r="A11" s="1"/>
      <c r="B11" s="25" t="s">
        <v>10</v>
      </c>
      <c r="C11" s="9">
        <f>-SUM(C9:C10)*'Fane 5. Individuelt eff. krav'!G9</f>
        <v>-543141.62660382641</v>
      </c>
      <c r="D11" s="8" t="s">
        <v>3</v>
      </c>
      <c r="E11" s="1"/>
    </row>
    <row r="12" spans="1:5" ht="15" customHeight="1" x14ac:dyDescent="0.25">
      <c r="A12" s="1"/>
      <c r="B12" s="25" t="s">
        <v>24</v>
      </c>
      <c r="C12" s="9">
        <f>-'Fane 4.1. Gen. krav - drift'!G58</f>
        <v>-1073985.6901430883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161212766.75631541</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17924073.317660648</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4" t="s">
        <v>176</v>
      </c>
      <c r="C22" s="10">
        <f>'Fane 8. Skattesagen'!G14</f>
        <v>0</v>
      </c>
      <c r="D22" s="11" t="s">
        <v>3</v>
      </c>
      <c r="E22" s="1"/>
    </row>
    <row r="23" spans="1:5" x14ac:dyDescent="0.25">
      <c r="A23" s="1"/>
      <c r="B23" s="32" t="s">
        <v>149</v>
      </c>
      <c r="C23" s="12">
        <f>SUM(C14,C16,C18,C20,C22)</f>
        <v>179136840.07397607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iM5Wht8lHX9bXZ9ibkKaYdGtU9KQ9xkfSF8Xqvvcoa/7RhDhcshJubmIX46ls+d3tMS1bINAp93KDWfDVN5lJQ==" saltValue="khW6EvlcnC+M2L9Z1H71w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0"/>
      <c r="C6" s="80"/>
      <c r="D6" s="80"/>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161212766.75631541</v>
      </c>
      <c r="D9" s="8" t="s">
        <v>3</v>
      </c>
      <c r="E9" s="1"/>
    </row>
    <row r="10" spans="1:5" ht="15" customHeight="1" x14ac:dyDescent="0.25">
      <c r="A10" s="1"/>
      <c r="B10" s="25" t="s">
        <v>19</v>
      </c>
      <c r="C10" s="7">
        <f>SUM(C9:C9)*'Fane 15. Nøgletal'!C15</f>
        <v>5739174.4965248285</v>
      </c>
      <c r="D10" s="8" t="s">
        <v>3</v>
      </c>
      <c r="E10" s="1"/>
    </row>
    <row r="11" spans="1:5" ht="15" customHeight="1" x14ac:dyDescent="0.25">
      <c r="A11" s="1"/>
      <c r="B11" s="25" t="s">
        <v>10</v>
      </c>
      <c r="C11" s="9">
        <f>-SUM(C9:C10)*'Fane 5. Individuelt eff. krav'!G9</f>
        <v>-556891.28493841772</v>
      </c>
      <c r="D11" s="8" t="s">
        <v>3</v>
      </c>
      <c r="E11" s="1"/>
    </row>
    <row r="12" spans="1:5" ht="15" customHeight="1" x14ac:dyDescent="0.25">
      <c r="A12" s="1"/>
      <c r="B12" s="25" t="s">
        <v>24</v>
      </c>
      <c r="C12" s="9">
        <f>-'Fane 4.1. Gen. krav - drift'!G63</f>
        <v>-1089975.1890979388</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165305074.77880388</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18562170.327769369</v>
      </c>
      <c r="D16" s="11" t="s">
        <v>3</v>
      </c>
      <c r="E16" s="1"/>
    </row>
    <row r="17" spans="1:5" ht="15" customHeight="1" x14ac:dyDescent="0.25">
      <c r="A17" s="1"/>
      <c r="B17" s="32" t="s">
        <v>86</v>
      </c>
      <c r="C17" s="27"/>
      <c r="D17" s="19"/>
      <c r="E17" s="1"/>
    </row>
    <row r="18" spans="1:5" ht="15" customHeight="1" x14ac:dyDescent="0.25">
      <c r="A18" s="1"/>
      <c r="B18" s="87"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4" t="s">
        <v>176</v>
      </c>
      <c r="C22" s="10">
        <f>'Fane 8. Skattesagen'!G15</f>
        <v>0</v>
      </c>
      <c r="D22" s="11" t="s">
        <v>3</v>
      </c>
      <c r="E22" s="1"/>
    </row>
    <row r="23" spans="1:5" x14ac:dyDescent="0.25">
      <c r="A23" s="1"/>
      <c r="B23" s="32" t="s">
        <v>190</v>
      </c>
      <c r="C23" s="12">
        <f>SUM(C14,C16,C18,C20,C22)</f>
        <v>183867245.10657325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2iuaBskmLPUDBIiQlBchnN6MOtXTTZer7+YcSK8nkHnSfiHSMsRDujJr8jdj0TE1pse7F8zHo0GovKoOGB+rTg==" saltValue="6ym1IVRoVBkhuSk3jrBse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288</v>
      </c>
      <c r="C8" s="27"/>
      <c r="D8" s="27"/>
      <c r="E8" s="27"/>
      <c r="F8" s="19"/>
      <c r="G8" s="1"/>
    </row>
    <row r="9" spans="1:7" ht="15" customHeight="1" x14ac:dyDescent="0.25">
      <c r="A9" s="1"/>
      <c r="B9" s="130" t="s">
        <v>192</v>
      </c>
      <c r="C9" s="131"/>
      <c r="D9" s="132"/>
      <c r="E9" s="7">
        <v>154634210.21550715</v>
      </c>
      <c r="F9" s="8" t="s">
        <v>3</v>
      </c>
      <c r="G9" s="1"/>
    </row>
    <row r="10" spans="1:7" ht="15" customHeight="1" x14ac:dyDescent="0.25">
      <c r="A10" s="1"/>
      <c r="B10" s="121" t="s">
        <v>39</v>
      </c>
      <c r="C10" s="122"/>
      <c r="D10" s="123"/>
      <c r="E10" s="7">
        <v>0</v>
      </c>
      <c r="F10" s="8" t="s">
        <v>3</v>
      </c>
      <c r="G10" s="1"/>
    </row>
    <row r="11" spans="1:7" ht="15" customHeight="1" x14ac:dyDescent="0.25">
      <c r="A11" s="1"/>
      <c r="B11" s="121" t="s">
        <v>40</v>
      </c>
      <c r="C11" s="122"/>
      <c r="D11" s="123"/>
      <c r="E11" s="9">
        <v>0</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-34658.998500000002</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510178.51901612361</v>
      </c>
      <c r="F16" s="8" t="s">
        <v>3</v>
      </c>
      <c r="G16" s="1"/>
    </row>
    <row r="17" spans="1:7" ht="15" customHeight="1" x14ac:dyDescent="0.25">
      <c r="A17" s="1"/>
      <c r="B17" s="130" t="s">
        <v>10</v>
      </c>
      <c r="C17" s="131"/>
      <c r="D17" s="132"/>
      <c r="E17" s="9">
        <v>-517389.95096994832</v>
      </c>
      <c r="F17" s="8" t="s">
        <v>3</v>
      </c>
      <c r="G17" s="1"/>
    </row>
    <row r="18" spans="1:7" ht="15" customHeight="1" x14ac:dyDescent="0.25">
      <c r="A18" s="1"/>
      <c r="B18" s="130" t="s">
        <v>24</v>
      </c>
      <c r="C18" s="131"/>
      <c r="D18" s="132"/>
      <c r="E18" s="9">
        <f>-'Fane 4.1. Gen. krav - drift'!G39</f>
        <v>-1026019.0901966339</v>
      </c>
      <c r="F18" s="8" t="s">
        <v>3</v>
      </c>
      <c r="G18" s="1"/>
    </row>
    <row r="19" spans="1:7" ht="15" customHeight="1" x14ac:dyDescent="0.25">
      <c r="A19" s="1"/>
      <c r="B19" s="130" t="s">
        <v>25</v>
      </c>
      <c r="C19" s="131"/>
      <c r="D19" s="132"/>
      <c r="E19" s="9">
        <f>-'Fane 4.2. Gen. krav - anlæg'!G37</f>
        <v>-1585336.3055253841</v>
      </c>
      <c r="F19" s="8" t="s">
        <v>3</v>
      </c>
      <c r="G19" s="1"/>
    </row>
    <row r="20" spans="1:7" ht="15" customHeight="1" x14ac:dyDescent="0.25">
      <c r="A20" s="1"/>
      <c r="B20" s="53" t="s">
        <v>21</v>
      </c>
      <c r="C20" s="88"/>
      <c r="D20" s="95"/>
      <c r="E20" s="50">
        <f>SUM(E9:E19)</f>
        <v>151980984.38933131</v>
      </c>
      <c r="F20" s="52"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6959229.5532872509</v>
      </c>
      <c r="F22" s="11" t="s">
        <v>3</v>
      </c>
      <c r="G22" s="1"/>
    </row>
    <row r="23" spans="1:7" ht="15" customHeight="1" x14ac:dyDescent="0.25">
      <c r="A23" s="1"/>
      <c r="B23" s="127" t="s">
        <v>86</v>
      </c>
      <c r="C23" s="128"/>
      <c r="D23" s="129"/>
      <c r="E23" s="27"/>
      <c r="F23" s="27"/>
      <c r="G23" s="1"/>
    </row>
    <row r="24" spans="1:7" ht="15" customHeight="1" x14ac:dyDescent="0.25">
      <c r="A24" s="1"/>
      <c r="B24" s="87"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v>0</v>
      </c>
      <c r="F28" s="11" t="s">
        <v>3</v>
      </c>
      <c r="G28" s="1"/>
    </row>
    <row r="29" spans="1:7" ht="15" customHeight="1" x14ac:dyDescent="0.25">
      <c r="A29" s="1"/>
      <c r="B29" s="32" t="s">
        <v>143</v>
      </c>
      <c r="C29" s="32"/>
      <c r="D29" s="32"/>
      <c r="E29" s="27"/>
      <c r="F29" s="27"/>
      <c r="G29" s="1"/>
    </row>
    <row r="30" spans="1:7" ht="15" customHeight="1" x14ac:dyDescent="0.25">
      <c r="A30" s="1"/>
      <c r="B30" s="124" t="s">
        <v>142</v>
      </c>
      <c r="C30" s="125"/>
      <c r="D30" s="125"/>
      <c r="E30" s="39">
        <v>0</v>
      </c>
      <c r="F30" s="11" t="s">
        <v>3</v>
      </c>
      <c r="G30" s="1"/>
    </row>
    <row r="31" spans="1:7" x14ac:dyDescent="0.25">
      <c r="A31" s="1"/>
      <c r="B31" s="32" t="s">
        <v>123</v>
      </c>
      <c r="C31" s="27"/>
      <c r="D31" s="27"/>
      <c r="E31" s="27"/>
      <c r="F31" s="27"/>
      <c r="G31" s="1"/>
    </row>
    <row r="32" spans="1:7" ht="15.4" customHeight="1" x14ac:dyDescent="0.25">
      <c r="A32" s="1"/>
      <c r="B32" s="124" t="s">
        <v>123</v>
      </c>
      <c r="C32" s="125"/>
      <c r="D32" s="126"/>
      <c r="E32" s="10">
        <v>0</v>
      </c>
      <c r="F32" s="11" t="s">
        <v>3</v>
      </c>
      <c r="G32" s="1"/>
    </row>
    <row r="33" spans="1:7" ht="15.4" customHeight="1" x14ac:dyDescent="0.25">
      <c r="A33" s="1"/>
      <c r="B33" s="127" t="s">
        <v>175</v>
      </c>
      <c r="C33" s="128"/>
      <c r="D33" s="128"/>
      <c r="E33" s="128"/>
      <c r="F33" s="129"/>
      <c r="G33" s="1"/>
    </row>
    <row r="34" spans="1:7" ht="15.4" customHeight="1" x14ac:dyDescent="0.25">
      <c r="A34" s="1"/>
      <c r="B34" s="94" t="s">
        <v>176</v>
      </c>
      <c r="C34" s="10"/>
      <c r="D34" s="11"/>
      <c r="E34" s="10">
        <f>'Fane 8. Skattesagen'!G11</f>
        <v>0</v>
      </c>
      <c r="F34" s="11" t="s">
        <v>3</v>
      </c>
      <c r="G34" s="1"/>
    </row>
    <row r="35" spans="1:7" x14ac:dyDescent="0.25">
      <c r="A35" s="1"/>
      <c r="B35" s="54" t="s">
        <v>218</v>
      </c>
      <c r="C35" s="55"/>
      <c r="D35" s="19"/>
      <c r="E35" s="45">
        <f>SUM(E32,E30,E28,E24,E22,E20,E34)</f>
        <v>158940213.94261855</v>
      </c>
      <c r="F35" s="51"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hV4e6RIRcxz3WroieX65Kklq6Rb82Up+Zgn/QMe/uUFbUSu7TM0OuYZuftf6sXpuTBEYTkWDE5tCJQ23CWqa9g==" saltValue="NoflyoIMgYjTEuEirKi6X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5">
        <v>51925747</v>
      </c>
      <c r="H5" s="14" t="s">
        <v>3</v>
      </c>
      <c r="I5" s="1"/>
    </row>
    <row r="6" spans="1:9" x14ac:dyDescent="0.25">
      <c r="A6" s="1"/>
      <c r="B6" s="130" t="s">
        <v>120</v>
      </c>
      <c r="C6" s="131"/>
      <c r="D6" s="131"/>
      <c r="E6" s="131"/>
      <c r="F6" s="132"/>
      <c r="G6" s="76">
        <v>0</v>
      </c>
      <c r="H6" s="14" t="s">
        <v>3</v>
      </c>
      <c r="I6" s="1"/>
    </row>
    <row r="7" spans="1:9" x14ac:dyDescent="0.25">
      <c r="A7" s="1"/>
      <c r="B7" s="137" t="s">
        <v>42</v>
      </c>
      <c r="C7" s="138"/>
      <c r="D7" s="138"/>
      <c r="E7" s="138"/>
      <c r="F7" s="139"/>
      <c r="G7" s="75">
        <f>SUM(G5:G6)*'Fane 15. Nøgletal'!C31</f>
        <v>1038514.9400000001</v>
      </c>
      <c r="H7" s="14" t="s">
        <v>3</v>
      </c>
      <c r="I7" s="1"/>
    </row>
    <row r="8" spans="1:9" x14ac:dyDescent="0.25">
      <c r="A8" s="1"/>
      <c r="B8" s="32"/>
      <c r="C8" s="27"/>
      <c r="D8" s="27"/>
      <c r="E8" s="27"/>
      <c r="F8" s="27"/>
      <c r="G8" s="77"/>
      <c r="H8" s="19"/>
      <c r="I8" s="1"/>
    </row>
    <row r="9" spans="1:9" x14ac:dyDescent="0.25">
      <c r="A9" s="1"/>
      <c r="B9" s="1"/>
      <c r="C9" s="1"/>
      <c r="D9" s="1"/>
      <c r="E9" s="1"/>
      <c r="F9" s="1"/>
      <c r="G9" s="78"/>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5">
        <f>(G5-G7)*(1+'Fane 15. Nøgletal'!C10)</f>
        <v>51777758.621050008</v>
      </c>
      <c r="H11" s="14" t="s">
        <v>3</v>
      </c>
      <c r="I11" s="1"/>
    </row>
    <row r="12" spans="1:9" ht="15" customHeight="1" x14ac:dyDescent="0.25">
      <c r="A12" s="1"/>
      <c r="B12" s="137" t="s">
        <v>121</v>
      </c>
      <c r="C12" s="138"/>
      <c r="D12" s="138"/>
      <c r="E12" s="138"/>
      <c r="F12" s="139"/>
      <c r="G12" s="76">
        <v>0</v>
      </c>
      <c r="H12" s="14" t="s">
        <v>3</v>
      </c>
      <c r="I12" s="1"/>
    </row>
    <row r="13" spans="1:9" x14ac:dyDescent="0.25">
      <c r="A13" s="1"/>
      <c r="B13" s="130" t="s">
        <v>118</v>
      </c>
      <c r="C13" s="131"/>
      <c r="D13" s="131"/>
      <c r="E13" s="131"/>
      <c r="F13" s="132"/>
      <c r="G13" s="76">
        <v>0</v>
      </c>
      <c r="H13" s="14" t="s">
        <v>3</v>
      </c>
      <c r="I13" s="1"/>
    </row>
    <row r="14" spans="1:9" x14ac:dyDescent="0.25">
      <c r="A14" s="1"/>
      <c r="B14" s="140" t="s">
        <v>44</v>
      </c>
      <c r="C14" s="141"/>
      <c r="D14" s="141"/>
      <c r="E14" s="141"/>
      <c r="F14" s="142"/>
      <c r="G14" s="76">
        <v>619802.6514625001</v>
      </c>
      <c r="H14" s="14" t="s">
        <v>3</v>
      </c>
      <c r="I14" s="1"/>
    </row>
    <row r="15" spans="1:9" x14ac:dyDescent="0.25">
      <c r="A15" s="1"/>
      <c r="B15" s="137" t="s">
        <v>45</v>
      </c>
      <c r="C15" s="138"/>
      <c r="D15" s="138"/>
      <c r="E15" s="138"/>
      <c r="F15" s="139"/>
      <c r="G15" s="75">
        <f>SUM(G11:G14)*'Fane 15. Nøgletal'!C31</f>
        <v>1047951.2254502502</v>
      </c>
      <c r="H15" s="14" t="s">
        <v>3</v>
      </c>
      <c r="I15" s="1"/>
    </row>
    <row r="16" spans="1:9" x14ac:dyDescent="0.25">
      <c r="A16" s="1"/>
      <c r="B16" s="32"/>
      <c r="C16" s="27"/>
      <c r="D16" s="27"/>
      <c r="E16" s="27"/>
      <c r="F16" s="27"/>
      <c r="G16" s="77"/>
      <c r="H16" s="19"/>
      <c r="I16" s="1"/>
    </row>
    <row r="17" spans="1:9" x14ac:dyDescent="0.25">
      <c r="A17" s="1"/>
      <c r="B17" s="1"/>
      <c r="C17" s="1"/>
      <c r="D17" s="1"/>
      <c r="E17" s="1"/>
      <c r="F17" s="1"/>
      <c r="G17" s="78"/>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5">
        <f>(SUM(G11:G12,G14)-(G15))*(1+'Fane 15. Nøgletal'!C10)</f>
        <v>52248228.222885855</v>
      </c>
      <c r="H19" s="14" t="s">
        <v>3</v>
      </c>
      <c r="I19" s="1"/>
    </row>
    <row r="20" spans="1:9" x14ac:dyDescent="0.25">
      <c r="A20" s="1"/>
      <c r="B20" s="140" t="s">
        <v>47</v>
      </c>
      <c r="C20" s="141"/>
      <c r="D20" s="141"/>
      <c r="E20" s="141"/>
      <c r="F20" s="142"/>
      <c r="G20" s="76">
        <v>0</v>
      </c>
      <c r="H20" s="14" t="s">
        <v>3</v>
      </c>
      <c r="I20" s="1"/>
    </row>
    <row r="21" spans="1:9" x14ac:dyDescent="0.25">
      <c r="A21" s="1"/>
      <c r="B21" s="137" t="s">
        <v>48</v>
      </c>
      <c r="C21" s="138"/>
      <c r="D21" s="138"/>
      <c r="E21" s="138"/>
      <c r="F21" s="139"/>
      <c r="G21" s="75">
        <f>SUM(G19:G20)*'Fane 15. Nøgletal'!C31</f>
        <v>1044964.5644577171</v>
      </c>
      <c r="H21" s="14" t="s">
        <v>3</v>
      </c>
      <c r="I21" s="1"/>
    </row>
    <row r="22" spans="1:9" x14ac:dyDescent="0.25">
      <c r="A22" s="1"/>
      <c r="B22" s="32"/>
      <c r="C22" s="27"/>
      <c r="D22" s="27"/>
      <c r="E22" s="27"/>
      <c r="F22" s="27"/>
      <c r="G22" s="77"/>
      <c r="H22" s="19"/>
      <c r="I22" s="1"/>
    </row>
    <row r="23" spans="1:9" x14ac:dyDescent="0.25">
      <c r="A23" s="1"/>
      <c r="B23" s="1"/>
      <c r="C23" s="1"/>
      <c r="D23" s="1"/>
      <c r="E23" s="1"/>
      <c r="F23" s="1"/>
      <c r="G23" s="78"/>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5">
        <f>(G19+G20-G21)*(1+'Fane 15. Nøgletal'!C12)</f>
        <v>52211967.952499174</v>
      </c>
      <c r="H25" s="14" t="s">
        <v>3</v>
      </c>
      <c r="I25" s="1"/>
    </row>
    <row r="26" spans="1:9" x14ac:dyDescent="0.25">
      <c r="A26" s="1"/>
      <c r="B26" s="140" t="s">
        <v>50</v>
      </c>
      <c r="C26" s="141"/>
      <c r="D26" s="141"/>
      <c r="E26" s="141"/>
      <c r="F26" s="142"/>
      <c r="G26" s="76">
        <v>0</v>
      </c>
      <c r="H26" s="14" t="s">
        <v>3</v>
      </c>
      <c r="I26" s="1"/>
    </row>
    <row r="27" spans="1:9" x14ac:dyDescent="0.25">
      <c r="A27" s="1"/>
      <c r="B27" s="137" t="s">
        <v>51</v>
      </c>
      <c r="C27" s="138"/>
      <c r="D27" s="138"/>
      <c r="E27" s="138"/>
      <c r="F27" s="139"/>
      <c r="G27" s="75">
        <f>(G25+G26)*'Fane 15. Nøgletal'!C31</f>
        <v>1044239.3590499834</v>
      </c>
      <c r="H27" s="14" t="s">
        <v>3</v>
      </c>
      <c r="I27" s="1"/>
    </row>
    <row r="28" spans="1:9" x14ac:dyDescent="0.25">
      <c r="A28" s="1"/>
      <c r="B28" s="32"/>
      <c r="C28" s="27"/>
      <c r="D28" s="27"/>
      <c r="E28" s="27"/>
      <c r="F28" s="27"/>
      <c r="G28" s="77"/>
      <c r="H28" s="19"/>
      <c r="I28" s="1"/>
    </row>
    <row r="29" spans="1:9" x14ac:dyDescent="0.25">
      <c r="A29" s="1"/>
      <c r="B29" s="1"/>
      <c r="C29" s="1"/>
      <c r="D29" s="1"/>
      <c r="E29" s="1"/>
      <c r="F29" s="1"/>
      <c r="G29" s="78"/>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5">
        <f>(G25+G26-G27)*(1+'Fane 15. Nøgletal'!C12)</f>
        <v>52175732.846740142</v>
      </c>
      <c r="H31" s="14" t="s">
        <v>3</v>
      </c>
      <c r="I31" s="1"/>
    </row>
    <row r="32" spans="1:9" x14ac:dyDescent="0.25">
      <c r="A32" s="1"/>
      <c r="B32" s="137" t="s">
        <v>137</v>
      </c>
      <c r="C32" s="138"/>
      <c r="D32" s="138"/>
      <c r="E32" s="138"/>
      <c r="F32" s="139"/>
      <c r="G32" s="75">
        <v>0</v>
      </c>
      <c r="H32" s="14" t="s">
        <v>3</v>
      </c>
      <c r="I32" s="1"/>
    </row>
    <row r="33" spans="1:9" x14ac:dyDescent="0.25">
      <c r="A33" s="1"/>
      <c r="B33" s="137" t="s">
        <v>60</v>
      </c>
      <c r="C33" s="138"/>
      <c r="D33" s="138"/>
      <c r="E33" s="138"/>
      <c r="F33" s="139"/>
      <c r="G33" s="75">
        <f>(G31+G32)*'Fane 15. Nøgletal'!C31</f>
        <v>1043514.6569348029</v>
      </c>
      <c r="H33" s="14" t="s">
        <v>3</v>
      </c>
      <c r="I33" s="1"/>
    </row>
    <row r="34" spans="1:9" x14ac:dyDescent="0.25">
      <c r="A34" s="1"/>
      <c r="B34" s="32"/>
      <c r="C34" s="27"/>
      <c r="D34" s="27"/>
      <c r="E34" s="27"/>
      <c r="F34" s="27"/>
      <c r="G34" s="77"/>
      <c r="H34" s="19"/>
      <c r="I34" s="1"/>
    </row>
    <row r="35" spans="1:9" x14ac:dyDescent="0.25">
      <c r="A35" s="1"/>
      <c r="B35" s="1"/>
      <c r="C35" s="1"/>
      <c r="D35" s="1"/>
      <c r="E35" s="1"/>
      <c r="F35" s="1"/>
      <c r="G35" s="78"/>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5">
        <f>(G31+G32-G33)*(1+'Fane 15. Nøgletal'!C14)</f>
        <v>51300954.509831697</v>
      </c>
      <c r="H37" s="14" t="s">
        <v>3</v>
      </c>
      <c r="I37" s="1"/>
    </row>
    <row r="38" spans="1:9" x14ac:dyDescent="0.25">
      <c r="A38" s="1"/>
      <c r="B38" s="137" t="s">
        <v>164</v>
      </c>
      <c r="C38" s="138"/>
      <c r="D38" s="138"/>
      <c r="E38" s="138"/>
      <c r="F38" s="139"/>
      <c r="G38" s="75">
        <v>0</v>
      </c>
      <c r="H38" s="14" t="s">
        <v>3</v>
      </c>
      <c r="I38" s="1"/>
    </row>
    <row r="39" spans="1:9" x14ac:dyDescent="0.25">
      <c r="A39" s="1"/>
      <c r="B39" s="137" t="s">
        <v>162</v>
      </c>
      <c r="C39" s="138"/>
      <c r="D39" s="138"/>
      <c r="E39" s="138"/>
      <c r="F39" s="139"/>
      <c r="G39" s="75">
        <f>(G37+G38)*'Fane 15. Nøgletal'!C31</f>
        <v>1026019.0901966339</v>
      </c>
      <c r="H39" s="14" t="s">
        <v>3</v>
      </c>
      <c r="I39" s="1"/>
    </row>
    <row r="40" spans="1:9" x14ac:dyDescent="0.25">
      <c r="A40" s="1"/>
      <c r="B40" s="32"/>
      <c r="C40" s="27"/>
      <c r="D40" s="27"/>
      <c r="E40" s="27"/>
      <c r="F40" s="27"/>
      <c r="G40" s="77"/>
      <c r="H40" s="19"/>
      <c r="I40" s="1"/>
    </row>
    <row r="41" spans="1:9" x14ac:dyDescent="0.25">
      <c r="A41" s="1"/>
      <c r="B41" s="1"/>
      <c r="C41" s="1"/>
      <c r="D41" s="1"/>
      <c r="E41" s="1"/>
      <c r="F41" s="1"/>
      <c r="G41" s="78"/>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5">
        <f>(G37+G38-G39)*(1+'Fane 15. Nøgletal'!C14)</f>
        <v>50440842.706519864</v>
      </c>
      <c r="H43" s="14" t="s">
        <v>3</v>
      </c>
      <c r="I43" s="1"/>
    </row>
    <row r="44" spans="1:9" x14ac:dyDescent="0.25">
      <c r="A44" s="1"/>
      <c r="B44" s="143" t="s">
        <v>230</v>
      </c>
      <c r="C44" s="144"/>
      <c r="D44" s="144"/>
      <c r="E44" s="144"/>
      <c r="F44" s="145"/>
      <c r="G44" s="79">
        <f>('Fane 2.1. Økonomisk ramme 2023'!C10+'Fane 2.1. Økonomisk ramme 2023'!C12+'Fane 2.1. Økonomisk ramme 2023'!C14)*(1+'Fane 15. Nøgletal'!C15)</f>
        <v>1694503.7911368003</v>
      </c>
      <c r="H44" s="14" t="s">
        <v>3</v>
      </c>
      <c r="I44" s="1"/>
    </row>
    <row r="45" spans="1:9" x14ac:dyDescent="0.25">
      <c r="A45" s="1"/>
      <c r="B45" s="137" t="s">
        <v>163</v>
      </c>
      <c r="C45" s="138"/>
      <c r="D45" s="138"/>
      <c r="E45" s="138"/>
      <c r="F45" s="139"/>
      <c r="G45" s="75">
        <f>SUM(G43:G44)*'Fane 15. Nøgletal'!C31</f>
        <v>1042706.9299531333</v>
      </c>
      <c r="H45" s="14" t="s">
        <v>3</v>
      </c>
      <c r="I45" s="1"/>
    </row>
    <row r="46" spans="1:9" x14ac:dyDescent="0.25">
      <c r="A46" s="1"/>
      <c r="B46" s="32"/>
      <c r="C46" s="27"/>
      <c r="D46" s="27"/>
      <c r="E46" s="27"/>
      <c r="F46" s="27"/>
      <c r="G46" s="77"/>
      <c r="H46" s="19"/>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5">
        <f>(G43+G44-G45)*(1+'Fane 15. Nøgletal'!C15)</f>
        <v>52911537.53631378</v>
      </c>
      <c r="H52" s="14" t="s">
        <v>3</v>
      </c>
      <c r="I52" s="1"/>
    </row>
    <row r="53" spans="1:9" x14ac:dyDescent="0.25">
      <c r="A53" s="1"/>
      <c r="B53" s="137" t="s">
        <v>138</v>
      </c>
      <c r="C53" s="138"/>
      <c r="D53" s="138"/>
      <c r="E53" s="138"/>
      <c r="F53" s="139"/>
      <c r="G53" s="75">
        <f>(G52)*'Fane 15. Nøgletal'!C31</f>
        <v>1058230.7507262756</v>
      </c>
      <c r="H53" s="14" t="s">
        <v>3</v>
      </c>
      <c r="I53" s="1"/>
    </row>
    <row r="54" spans="1:9" x14ac:dyDescent="0.25">
      <c r="A54" s="1"/>
      <c r="B54" s="32"/>
      <c r="C54" s="27"/>
      <c r="D54" s="27"/>
      <c r="E54" s="27"/>
      <c r="F54" s="27"/>
      <c r="G54" s="77"/>
      <c r="H54" s="19"/>
      <c r="I54" s="1"/>
    </row>
    <row r="55" spans="1:9" x14ac:dyDescent="0.25">
      <c r="A55" s="1"/>
      <c r="B55" s="1"/>
      <c r="C55" s="1"/>
      <c r="D55" s="1"/>
      <c r="E55" s="1"/>
      <c r="F55" s="1"/>
      <c r="G55" s="78"/>
      <c r="H55" s="1"/>
      <c r="I55" s="1"/>
    </row>
    <row r="56" spans="1:9" x14ac:dyDescent="0.25">
      <c r="A56" s="1"/>
      <c r="B56" s="127" t="s">
        <v>150</v>
      </c>
      <c r="C56" s="128"/>
      <c r="D56" s="128"/>
      <c r="E56" s="128"/>
      <c r="F56" s="128"/>
      <c r="G56" s="136"/>
      <c r="H56" s="129"/>
      <c r="I56" s="1"/>
    </row>
    <row r="57" spans="1:9" x14ac:dyDescent="0.25">
      <c r="A57" s="1"/>
      <c r="B57" s="90" t="s">
        <v>151</v>
      </c>
      <c r="C57" s="91"/>
      <c r="D57" s="91"/>
      <c r="E57" s="91"/>
      <c r="F57" s="92"/>
      <c r="G57" s="75">
        <f>(G52-G53)*(1+'Fane 15. Nøgletal'!C15)</f>
        <v>53699284.50715442</v>
      </c>
      <c r="H57" s="14" t="s">
        <v>3</v>
      </c>
      <c r="I57" s="1"/>
    </row>
    <row r="58" spans="1:9" x14ac:dyDescent="0.25">
      <c r="A58" s="1"/>
      <c r="B58" s="90" t="s">
        <v>152</v>
      </c>
      <c r="C58" s="91"/>
      <c r="D58" s="91"/>
      <c r="E58" s="91"/>
      <c r="F58" s="92"/>
      <c r="G58" s="75">
        <f>(G57)*'Fane 15. Nøgletal'!C31</f>
        <v>1073985.6901430883</v>
      </c>
      <c r="H58" s="14" t="s">
        <v>3</v>
      </c>
      <c r="I58" s="1"/>
    </row>
    <row r="59" spans="1:9" x14ac:dyDescent="0.25">
      <c r="A59" s="1"/>
      <c r="B59" s="32"/>
      <c r="C59" s="27"/>
      <c r="D59" s="27"/>
      <c r="E59" s="27"/>
      <c r="F59" s="27"/>
      <c r="G59" s="77"/>
      <c r="H59" s="19"/>
      <c r="I59" s="1"/>
    </row>
    <row r="60" spans="1:9" x14ac:dyDescent="0.25">
      <c r="A60" s="1"/>
      <c r="B60" s="1"/>
      <c r="C60" s="1"/>
      <c r="D60" s="1"/>
      <c r="E60" s="1"/>
      <c r="F60" s="1"/>
      <c r="G60" s="78"/>
      <c r="H60" s="1"/>
      <c r="I60" s="1"/>
    </row>
    <row r="61" spans="1:9" x14ac:dyDescent="0.25">
      <c r="A61" s="1"/>
      <c r="B61" s="127" t="s">
        <v>193</v>
      </c>
      <c r="C61" s="128"/>
      <c r="D61" s="128"/>
      <c r="E61" s="128"/>
      <c r="F61" s="128"/>
      <c r="G61" s="136"/>
      <c r="H61" s="129"/>
      <c r="I61" s="1"/>
    </row>
    <row r="62" spans="1:9" x14ac:dyDescent="0.25">
      <c r="A62" s="1"/>
      <c r="B62" s="90" t="s">
        <v>194</v>
      </c>
      <c r="C62" s="91"/>
      <c r="D62" s="91"/>
      <c r="E62" s="91"/>
      <c r="F62" s="92"/>
      <c r="G62" s="75">
        <f>(G57-G58)*(1+'Fane 15. Nøgletal'!C15)</f>
        <v>54498759.454896942</v>
      </c>
      <c r="H62" s="14" t="s">
        <v>3</v>
      </c>
      <c r="I62" s="1"/>
    </row>
    <row r="63" spans="1:9" x14ac:dyDescent="0.25">
      <c r="A63" s="1"/>
      <c r="B63" s="90" t="s">
        <v>195</v>
      </c>
      <c r="C63" s="91"/>
      <c r="D63" s="91"/>
      <c r="E63" s="91"/>
      <c r="F63" s="92"/>
      <c r="G63" s="75">
        <f>(G62)*'Fane 15. Nøgletal'!C31</f>
        <v>1089975.1890979388</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CTNpe5RNLezofXrulaCyFiPl3rc236qBkw+AMNiAR5A9UuJIw41QmHTK/R2INeL51RgfXp7PZEG3jSTFy+Cu6g==" saltValue="JzfNWFpTb0MxRLjEljXGR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5">
        <v>107403249</v>
      </c>
      <c r="H5" s="14" t="s">
        <v>3</v>
      </c>
      <c r="I5" s="1"/>
    </row>
    <row r="6" spans="1:9" x14ac:dyDescent="0.25">
      <c r="A6" s="1"/>
      <c r="B6" s="137" t="s">
        <v>57</v>
      </c>
      <c r="C6" s="138"/>
      <c r="D6" s="138"/>
      <c r="E6" s="138"/>
      <c r="F6" s="139"/>
      <c r="G6" s="75">
        <f>G5*'Fane 15. Nøgletal'!C20</f>
        <v>977369.56590000005</v>
      </c>
      <c r="H6" s="14" t="s">
        <v>3</v>
      </c>
      <c r="I6" s="1"/>
    </row>
    <row r="7" spans="1:9" x14ac:dyDescent="0.25">
      <c r="A7" s="1"/>
      <c r="B7" s="32"/>
      <c r="C7" s="27"/>
      <c r="D7" s="27"/>
      <c r="E7" s="27"/>
      <c r="F7" s="27"/>
      <c r="G7" s="77"/>
      <c r="H7" s="19"/>
      <c r="I7" s="1"/>
    </row>
    <row r="8" spans="1:9" x14ac:dyDescent="0.25">
      <c r="A8" s="1"/>
      <c r="B8" s="1"/>
      <c r="C8" s="1"/>
      <c r="D8" s="1"/>
      <c r="E8" s="1"/>
      <c r="F8" s="1"/>
      <c r="G8" s="78"/>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5">
        <f>(G5-G6)*(1+'Fane 15. Nøgletal'!C10)</f>
        <v>108288332.32419676</v>
      </c>
      <c r="H10" s="14" t="s">
        <v>3</v>
      </c>
      <c r="I10" s="1"/>
    </row>
    <row r="11" spans="1:9" x14ac:dyDescent="0.25">
      <c r="A11" s="1"/>
      <c r="B11" s="137" t="s">
        <v>122</v>
      </c>
      <c r="C11" s="138"/>
      <c r="D11" s="138"/>
      <c r="E11" s="138"/>
      <c r="F11" s="139"/>
      <c r="G11" s="75">
        <v>239226.71670519179</v>
      </c>
      <c r="H11" s="14" t="s">
        <v>3</v>
      </c>
      <c r="I11" s="1"/>
    </row>
    <row r="12" spans="1:9" x14ac:dyDescent="0.25">
      <c r="A12" s="1"/>
      <c r="B12" s="140" t="s">
        <v>64</v>
      </c>
      <c r="C12" s="141"/>
      <c r="D12" s="141"/>
      <c r="E12" s="141"/>
      <c r="F12" s="142"/>
      <c r="G12" s="76">
        <v>0</v>
      </c>
      <c r="H12" s="14" t="s">
        <v>3</v>
      </c>
      <c r="I12" s="1"/>
    </row>
    <row r="13" spans="1:9" x14ac:dyDescent="0.25">
      <c r="A13" s="1"/>
      <c r="B13" s="137" t="s">
        <v>65</v>
      </c>
      <c r="C13" s="138"/>
      <c r="D13" s="138"/>
      <c r="E13" s="138"/>
      <c r="F13" s="139"/>
      <c r="G13" s="75">
        <f>SUM(G10:G12)*'Fane 15. Nøgletal'!C21</f>
        <v>1920937.7950239645</v>
      </c>
      <c r="H13" s="14" t="s">
        <v>3</v>
      </c>
      <c r="I13" s="1"/>
    </row>
    <row r="14" spans="1:9" x14ac:dyDescent="0.25">
      <c r="A14" s="1"/>
      <c r="B14" s="32"/>
      <c r="C14" s="27"/>
      <c r="D14" s="27"/>
      <c r="E14" s="27"/>
      <c r="F14" s="27"/>
      <c r="G14" s="77"/>
      <c r="H14" s="19"/>
      <c r="I14" s="1"/>
    </row>
    <row r="15" spans="1:9" x14ac:dyDescent="0.25">
      <c r="A15" s="1"/>
      <c r="B15" s="1"/>
      <c r="C15" s="1"/>
      <c r="D15" s="1"/>
      <c r="E15" s="1"/>
      <c r="F15" s="1"/>
      <c r="G15" s="78"/>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5">
        <f>(SUM(G10:G12)-G13)*(1+'Fane 15. Nøgletal'!C10)</f>
        <v>108472237.11768085</v>
      </c>
      <c r="H17" s="14" t="s">
        <v>3</v>
      </c>
      <c r="I17" s="1"/>
    </row>
    <row r="18" spans="1:9" x14ac:dyDescent="0.25">
      <c r="A18" s="1"/>
      <c r="B18" s="140" t="s">
        <v>68</v>
      </c>
      <c r="C18" s="141"/>
      <c r="D18" s="141"/>
      <c r="E18" s="141"/>
      <c r="F18" s="142"/>
      <c r="G18" s="75">
        <v>553741.46921328991</v>
      </c>
      <c r="H18" s="14" t="s">
        <v>3</v>
      </c>
      <c r="I18" s="1"/>
    </row>
    <row r="19" spans="1:9" x14ac:dyDescent="0.25">
      <c r="A19" s="1"/>
      <c r="B19" s="137" t="s">
        <v>69</v>
      </c>
      <c r="C19" s="138"/>
      <c r="D19" s="138"/>
      <c r="E19" s="138"/>
      <c r="F19" s="139"/>
      <c r="G19" s="75">
        <f>G17*'Fane 15. Nøgletal'!C21+G18*'Fane 15. Nøgletal'!C22</f>
        <v>1924776.1477651068</v>
      </c>
      <c r="H19" s="14" t="s">
        <v>3</v>
      </c>
      <c r="I19" s="1"/>
    </row>
    <row r="20" spans="1:9" x14ac:dyDescent="0.25">
      <c r="A20" s="1"/>
      <c r="B20" s="32"/>
      <c r="C20" s="27"/>
      <c r="D20" s="27"/>
      <c r="E20" s="27"/>
      <c r="F20" s="27"/>
      <c r="G20" s="77"/>
      <c r="H20" s="19"/>
      <c r="I20" s="1"/>
    </row>
    <row r="21" spans="1:9" x14ac:dyDescent="0.25">
      <c r="A21" s="1"/>
      <c r="B21" s="1"/>
      <c r="C21" s="1"/>
      <c r="D21" s="1"/>
      <c r="E21" s="1"/>
      <c r="F21" s="1"/>
      <c r="G21" s="78"/>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5">
        <f>(G17+G18-G19)*(1+'Fane 15. Nøgletal'!C12)</f>
        <v>109211096.12717989</v>
      </c>
      <c r="H23" s="14" t="s">
        <v>3</v>
      </c>
      <c r="I23" s="1"/>
    </row>
    <row r="24" spans="1:9" x14ac:dyDescent="0.25">
      <c r="A24" s="1"/>
      <c r="B24" s="140" t="s">
        <v>72</v>
      </c>
      <c r="C24" s="141"/>
      <c r="D24" s="141"/>
      <c r="E24" s="141"/>
      <c r="F24" s="142"/>
      <c r="G24" s="75">
        <v>257151.54625858334</v>
      </c>
      <c r="H24" s="14" t="s">
        <v>3</v>
      </c>
      <c r="I24" s="1"/>
    </row>
    <row r="25" spans="1:9" x14ac:dyDescent="0.25">
      <c r="A25" s="1"/>
      <c r="B25" s="137" t="s">
        <v>73</v>
      </c>
      <c r="C25" s="138"/>
      <c r="D25" s="138"/>
      <c r="E25" s="138"/>
      <c r="F25" s="139"/>
      <c r="G25" s="75">
        <f>(G23+G24)*'Fane 15. Nøgletal'!C23</f>
        <v>3108898.2339256527</v>
      </c>
      <c r="H25" s="14" t="s">
        <v>3</v>
      </c>
      <c r="I25" s="1"/>
    </row>
    <row r="26" spans="1:9" x14ac:dyDescent="0.25">
      <c r="A26" s="1"/>
      <c r="B26" s="32"/>
      <c r="C26" s="27"/>
      <c r="D26" s="27"/>
      <c r="E26" s="27"/>
      <c r="F26" s="27"/>
      <c r="G26" s="77"/>
      <c r="H26" s="19"/>
      <c r="I26" s="1"/>
    </row>
    <row r="27" spans="1:9" x14ac:dyDescent="0.25">
      <c r="A27" s="1"/>
      <c r="B27" s="1"/>
      <c r="C27" s="1"/>
      <c r="D27" s="1"/>
      <c r="E27" s="1"/>
      <c r="F27" s="1"/>
      <c r="G27" s="78"/>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5">
        <f>(G23+G24-G25)*(1+'Fane 15. Nøgletal'!C12)</f>
        <v>108454628.62347123</v>
      </c>
      <c r="H29" s="14" t="s">
        <v>3</v>
      </c>
      <c r="I29" s="1"/>
    </row>
    <row r="30" spans="1:9" x14ac:dyDescent="0.25">
      <c r="A30" s="1"/>
      <c r="B30" s="137" t="s">
        <v>139</v>
      </c>
      <c r="C30" s="138"/>
      <c r="D30" s="138"/>
      <c r="E30" s="138"/>
      <c r="F30" s="139"/>
      <c r="G30" s="75">
        <v>1465434.74592648</v>
      </c>
      <c r="H30" s="14" t="s">
        <v>3</v>
      </c>
      <c r="I30" s="1"/>
    </row>
    <row r="31" spans="1:9" x14ac:dyDescent="0.25">
      <c r="A31" s="1"/>
      <c r="B31" s="137" t="s">
        <v>76</v>
      </c>
      <c r="C31" s="138"/>
      <c r="D31" s="138"/>
      <c r="E31" s="138"/>
      <c r="F31" s="139"/>
      <c r="G31" s="75">
        <f>G29*'Fane 15. Nøgletal'!C23+G30*'Fane 15. Nøgletal'!C24</f>
        <v>3120410.9084195611</v>
      </c>
      <c r="H31" s="14" t="s">
        <v>3</v>
      </c>
      <c r="I31" s="1"/>
    </row>
    <row r="32" spans="1:9" x14ac:dyDescent="0.25">
      <c r="A32" s="1"/>
      <c r="B32" s="32"/>
      <c r="C32" s="27"/>
      <c r="D32" s="27"/>
      <c r="E32" s="27"/>
      <c r="F32" s="27"/>
      <c r="G32" s="77"/>
      <c r="H32" s="19"/>
      <c r="I32" s="1"/>
    </row>
    <row r="33" spans="1:9" x14ac:dyDescent="0.25">
      <c r="A33" s="1"/>
      <c r="B33" s="1"/>
      <c r="C33" s="1"/>
      <c r="D33" s="1"/>
      <c r="E33" s="1"/>
      <c r="F33" s="1"/>
      <c r="G33" s="78"/>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5">
        <f>(G29+G30-G31)*(1+'Fane 15. Nøgletal'!C14)</f>
        <v>107152091.31409939</v>
      </c>
      <c r="H35" s="14" t="s">
        <v>3</v>
      </c>
      <c r="I35" s="1"/>
    </row>
    <row r="36" spans="1:9" x14ac:dyDescent="0.25">
      <c r="A36" s="1"/>
      <c r="B36" s="137" t="s">
        <v>167</v>
      </c>
      <c r="C36" s="138"/>
      <c r="D36" s="138"/>
      <c r="E36" s="138"/>
      <c r="F36" s="139"/>
      <c r="G36" s="75">
        <v>-34773.373195050008</v>
      </c>
      <c r="H36" s="14" t="s">
        <v>3</v>
      </c>
      <c r="I36" s="1"/>
    </row>
    <row r="37" spans="1:9" x14ac:dyDescent="0.25">
      <c r="A37" s="1"/>
      <c r="B37" s="137" t="s">
        <v>166</v>
      </c>
      <c r="C37" s="138"/>
      <c r="D37" s="138"/>
      <c r="E37" s="138"/>
      <c r="F37" s="139"/>
      <c r="G37" s="75">
        <f>(G35+G36)*'Fane 15. Nøgletal'!C25</f>
        <v>1585336.3055253841</v>
      </c>
      <c r="H37" s="14" t="s">
        <v>3</v>
      </c>
      <c r="I37" s="1"/>
    </row>
    <row r="38" spans="1:9" x14ac:dyDescent="0.25">
      <c r="A38" s="1"/>
      <c r="B38" s="32"/>
      <c r="C38" s="27"/>
      <c r="D38" s="27"/>
      <c r="E38" s="27"/>
      <c r="F38" s="27"/>
      <c r="G38" s="77"/>
      <c r="H38" s="19"/>
      <c r="I38" s="1"/>
    </row>
    <row r="39" spans="1:9" x14ac:dyDescent="0.25">
      <c r="A39" s="1"/>
      <c r="B39" s="1"/>
      <c r="C39" s="1"/>
      <c r="D39" s="1"/>
      <c r="E39" s="1"/>
      <c r="F39" s="1"/>
      <c r="G39" s="78"/>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5">
        <f>(G35+G36-G37)*(1+'Fane 15. Nøgletal'!C14)</f>
        <v>105880237.17477572</v>
      </c>
      <c r="H41" s="14" t="s">
        <v>3</v>
      </c>
      <c r="I41" s="1"/>
    </row>
    <row r="42" spans="1:9" x14ac:dyDescent="0.25">
      <c r="A42" s="1"/>
      <c r="B42" s="43" t="s">
        <v>229</v>
      </c>
      <c r="C42" s="91"/>
      <c r="D42" s="91"/>
      <c r="E42" s="91"/>
      <c r="F42" s="92"/>
      <c r="G42" s="79">
        <f>('Fane 2.1. Økonomisk ramme 2023'!C11+'Fane 2.1. Økonomisk ramme 2023'!C13+'Fane 2.1. Økonomisk ramme 2023'!C15)*(1+'Fane 15. Nøgletal'!C15)</f>
        <v>2315485.9868587204</v>
      </c>
      <c r="H42" s="14" t="s">
        <v>3</v>
      </c>
      <c r="I42" s="1"/>
    </row>
    <row r="43" spans="1:9" x14ac:dyDescent="0.25">
      <c r="A43" s="1"/>
      <c r="B43" s="137" t="s">
        <v>168</v>
      </c>
      <c r="C43" s="138"/>
      <c r="D43" s="138"/>
      <c r="E43" s="138"/>
      <c r="F43" s="139"/>
      <c r="G43" s="75">
        <f>(G41)*'Fane 15. Nøgletal'!C25+G42*'Fane 15. Nøgletal'!C26</f>
        <v>1567027.5101866808</v>
      </c>
      <c r="H43" s="14" t="s">
        <v>3</v>
      </c>
      <c r="I43" s="1"/>
    </row>
    <row r="44" spans="1:9" x14ac:dyDescent="0.25">
      <c r="A44" s="1"/>
      <c r="B44" s="32"/>
      <c r="C44" s="27"/>
      <c r="D44" s="27"/>
      <c r="E44" s="27"/>
      <c r="F44" s="27"/>
      <c r="G44" s="77"/>
      <c r="H44" s="19"/>
      <c r="I44" s="1"/>
    </row>
    <row r="45" spans="1:9" x14ac:dyDescent="0.25">
      <c r="A45" s="1"/>
      <c r="B45" s="1"/>
      <c r="C45" s="1"/>
      <c r="D45" s="1"/>
      <c r="E45" s="1"/>
      <c r="F45" s="1"/>
      <c r="G45" s="78"/>
      <c r="H45" s="1"/>
      <c r="I45" s="1"/>
    </row>
    <row r="46" spans="1:9" x14ac:dyDescent="0.25">
      <c r="A46" s="1"/>
      <c r="B46" s="1"/>
      <c r="C46" s="1"/>
      <c r="D46" s="1"/>
      <c r="E46" s="1"/>
      <c r="F46" s="1"/>
      <c r="G46" s="78"/>
      <c r="H46" s="1"/>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
      <c r="C51" s="1"/>
      <c r="D51" s="1"/>
      <c r="E51" s="1"/>
      <c r="F51" s="1"/>
      <c r="G51" s="78"/>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5">
        <f>(G41+G42-G43)*(1+'Fane 15. Nøgletal'!C15)</f>
        <v>110424677.21663931</v>
      </c>
      <c r="H53" s="14" t="s">
        <v>3</v>
      </c>
      <c r="I53" s="1"/>
    </row>
    <row r="54" spans="1:9" x14ac:dyDescent="0.25">
      <c r="A54" s="1"/>
      <c r="B54" s="137" t="s">
        <v>141</v>
      </c>
      <c r="C54" s="138"/>
      <c r="D54" s="138"/>
      <c r="E54" s="138"/>
      <c r="F54" s="139"/>
      <c r="G54" s="75">
        <f>(G53)*'Fane 15. Nøgletal'!C26</f>
        <v>0</v>
      </c>
      <c r="H54" s="14" t="s">
        <v>3</v>
      </c>
      <c r="I54" s="1"/>
    </row>
    <row r="55" spans="1:9" x14ac:dyDescent="0.25">
      <c r="A55" s="1"/>
      <c r="B55" s="32"/>
      <c r="C55" s="27"/>
      <c r="D55" s="27"/>
      <c r="E55" s="27"/>
      <c r="F55" s="27"/>
      <c r="G55" s="77"/>
      <c r="H55" s="19"/>
      <c r="I55" s="1"/>
    </row>
    <row r="56" spans="1:9" x14ac:dyDescent="0.25">
      <c r="A56" s="1"/>
      <c r="B56" s="1"/>
      <c r="C56" s="1"/>
      <c r="D56" s="1"/>
      <c r="E56" s="1"/>
      <c r="F56" s="1"/>
      <c r="G56" s="78"/>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5">
        <f>(G53-G54)*(1+'Fane 15. Nøgletal'!C15)</f>
        <v>114355795.72555168</v>
      </c>
      <c r="H58" s="14" t="s">
        <v>3</v>
      </c>
      <c r="I58" s="1"/>
    </row>
    <row r="59" spans="1:9" x14ac:dyDescent="0.25">
      <c r="A59" s="1"/>
      <c r="B59" s="137" t="s">
        <v>174</v>
      </c>
      <c r="C59" s="138"/>
      <c r="D59" s="138"/>
      <c r="E59" s="138"/>
      <c r="F59" s="139"/>
      <c r="G59" s="75">
        <f>(G58)*'Fane 15. Nøgletal'!C26</f>
        <v>0</v>
      </c>
      <c r="H59" s="14" t="s">
        <v>3</v>
      </c>
      <c r="I59" s="1"/>
    </row>
    <row r="60" spans="1:9" x14ac:dyDescent="0.25">
      <c r="A60" s="1"/>
      <c r="B60" s="32"/>
      <c r="C60" s="27"/>
      <c r="D60" s="27"/>
      <c r="E60" s="27"/>
      <c r="F60" s="27"/>
      <c r="G60" s="77"/>
      <c r="H60" s="19"/>
      <c r="I60" s="1"/>
    </row>
    <row r="61" spans="1:9" x14ac:dyDescent="0.25">
      <c r="A61" s="1"/>
      <c r="B61" s="1"/>
      <c r="C61" s="1"/>
      <c r="D61" s="1"/>
      <c r="E61" s="1"/>
      <c r="F61" s="1"/>
      <c r="G61" s="78"/>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5">
        <f>(G58-G59)*(1+'Fane 15. Nøgletal'!C15)</f>
        <v>118426862.05338132</v>
      </c>
      <c r="H63" s="14" t="s">
        <v>3</v>
      </c>
      <c r="I63" s="1"/>
    </row>
    <row r="64" spans="1:9" x14ac:dyDescent="0.25">
      <c r="A64" s="1"/>
      <c r="B64" s="137" t="s">
        <v>198</v>
      </c>
      <c r="C64" s="138"/>
      <c r="D64" s="138"/>
      <c r="E64" s="138"/>
      <c r="F64" s="139"/>
      <c r="G64" s="75">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RmeT7YUJJI0Rs+MFVByRaeOGEWIQtRLqwyWVcNxHcyjR0tJuzAjIm94EGIHhyXuoAD6lcGYhjRNc9n7GjMMbJA==" saltValue="jXLc/2zHrTmWD0FtzF94I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9" t="s">
        <v>10</v>
      </c>
      <c r="C8" s="149"/>
      <c r="D8" s="149"/>
      <c r="E8" s="149"/>
      <c r="F8" s="149"/>
      <c r="G8" s="149"/>
      <c r="H8" s="1"/>
    </row>
    <row r="9" spans="1:8" x14ac:dyDescent="0.25">
      <c r="A9" s="1"/>
      <c r="B9" s="137" t="s">
        <v>154</v>
      </c>
      <c r="C9" s="138"/>
      <c r="D9" s="138"/>
      <c r="E9" s="138"/>
      <c r="F9" s="139"/>
      <c r="G9" s="35">
        <v>3.3356382726633538E-3</v>
      </c>
      <c r="H9" s="1"/>
    </row>
    <row r="10" spans="1:8" x14ac:dyDescent="0.25">
      <c r="A10" s="1"/>
      <c r="B10" s="150"/>
      <c r="C10" s="150"/>
      <c r="D10" s="150"/>
      <c r="E10" s="150"/>
      <c r="F10" s="150"/>
      <c r="G10" s="150"/>
      <c r="H10" s="1"/>
    </row>
    <row r="11" spans="1:8" ht="29.25" customHeight="1" x14ac:dyDescent="0.25">
      <c r="A11" s="1"/>
      <c r="B11" s="148" t="s">
        <v>236</v>
      </c>
      <c r="C11" s="148"/>
      <c r="D11" s="148"/>
      <c r="E11" s="148"/>
      <c r="F11" s="148"/>
      <c r="G11" s="148"/>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VJlhz92jFYZgG7HiKhU9EKIuYXlLbQjl3TWocToqQOQxW52nCv94xKKRtfMxfCS4oWZWMfm9Kihl4LmqfHnAEw==" saltValue="8BkNcJT6uulYaFk7sgw1Nw=="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2022-12-06T11:30:12Z</dcterms:modified>
</cp:coreProperties>
</file>