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Bornholms Spildevand AS (S010)\ØR2024\"/>
    </mc:Choice>
  </mc:AlternateContent>
  <xr:revisionPtr revIDLastSave="0" documentId="13_ncr:1_{B8C58212-4E37-427F-A009-88F3A228607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1" i="1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<sst xmlns="http://schemas.openxmlformats.org/spreadsheetml/2006/main" count="660" uniqueCount="295">
  <si>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</si>
  <si>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</si>
  <si>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</si>
  <si>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</si>
  <si>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</si>
  <si>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</si>
  <si>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</si>
  <si>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</si>
  <si>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</si>
  <si>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</si>
  <si>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</si>
  <si>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</si>
  <si>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</si>
  <si>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</si>
  <si>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</si>
  <si>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</si>
  <si>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</si>
  <si>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</si>
  <si>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</si>
  <si>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</si>
  <si>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</si>
  <si>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</si>
  <si>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</si>
  <si>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</si>
  <si>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</si>
  <si>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</si>
  <si>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</si>
  <si>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</si>
  <si>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</si>
  <si>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</si>
  <si>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</si>
  <si>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</si>
  <si>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</si>
  <si>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</si>
  <si>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</si>
  <si>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</si>
  <si>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</si>
  <si>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</si>
  <si>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</si>
  <si>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</si>
  <si>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</si>
  <si>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</si>
  <si>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</si>
  <si>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</si>
  <si>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</si>
  <si>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</si>
  <si>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</si>
  <si>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</si>
  <si>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</si>
  <si>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</si>
  <si>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</si>
  <si>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</si>
  <si>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</si>
  <si>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</si>
  <si>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</si>
  <si>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</si>
  <si>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</si>
  <si>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</si>
  <si>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</si>
  <si>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</si>
  <si>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</si>
  <si>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</si>
  <si>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</si>
  <si>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</si>
  <si>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</si>
  <si>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</si>
  <si>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</si>
  <si>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</si>
  <si>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</si>
  <si>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</si>
  <si>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</si>
  <si>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</si>
  <si>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</si>
  <si>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</si>
  <si>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</si>
  <si>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</si>
  <si>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</si>
  <si>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</si>
  <si>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</si>
  <si>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</si>
  <si>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</si>
  <si>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</si>
  <si>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</si>
  <si>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</si>
  <si>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</si>
  <si>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</si>
  <si>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</si>
  <si>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</si>
  <si>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</si>
  <si>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</si>
  <si>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</si>
  <si>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</si>
  <si>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</si>
  <si>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</si>
  <si>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</si>
  <si>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</si>
  <si>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</si>
  <si>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</si>
  <si>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</si>
  <si>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</si>
  <si>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</si>
  <si>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</si>
  <si>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</si>
  <si>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</si>
  <si>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</si>
  <si>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</si>
  <si>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</si>
  <si>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</si>
  <si>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</si>
  <si>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</si>
  <si>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</si>
  <si>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</si>
  <si>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</si>
  <si>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</si>
  <si>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</si>
  <si>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</si>
  <si>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</si>
  <si>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</si>
  <si>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</si>
  <si>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</si>
  <si>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</si>
  <si>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</si>
  <si>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</si>
  <si>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</si>
  <si>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</si>
  <si>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</si>
  <si>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</si>
  <si>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</si>
  <si>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</si>
  <si>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</si>
  <si>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</si>
  <si>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</si>
  <si>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</si>
  <si>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</si>
  <si>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</si>
  <si>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</si>
  <si>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</si>
  <si>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</si>
  <si>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</si>
  <si>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</si>
  <si>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</si>
  <si>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</si>
  <si>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</si>
  <si>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</si>
  <si>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</si>
  <si>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</si>
  <si>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</si>
  <si>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</si>
  <si>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</si>
  <si>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</si>
  <si>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</si>
  <si>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</si>
  <si>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</si>
  <si>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</si>
  <si>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</si>
  <si>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</si>
  <si>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</si>
  <si>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</si>
  <si>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</si>
  <si>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</si>
  <si>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</si>
  <si>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</si>
  <si>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</si>
  <si>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</si>
  <si>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</si>
  <si>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</si>
  <si>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</si>
  <si>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</si>
  <si>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</si>
  <si>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</si>
  <si>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</si>
  <si>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</si>
  <si>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</si>
  <si>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</si>
  <si>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</si>
  <si>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</si>
  <si>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</si>
  <si>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</si>
  <si>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</si>
  <si>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</si>
  <si>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</si>
  <si>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</si>
  <si>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</si>
  <si>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</si>
  <si>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</si>
  <si>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</si>
  <si>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</si>
  <si>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</si>
  <si>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</si>
  <si>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</si>
  <si>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</si>
  <si>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</si>
  <si>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</si>
  <si>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</si>
  <si>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</si>
  <si>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</si>
  <si>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</si>
  <si>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</si>
  <si>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</si>
  <si>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</si>
  <si>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</si>
  <si>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</si>
  <si>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</si>
  <si>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</si>
  <si>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</si>
  <si>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</si>
  <si>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</si>
  <si>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</si>
  <si>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</si>
  <si>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</si>
  <si>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</si>
  <si>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</si>
  <si>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</si>
  <si>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</si>
  <si>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</si>
  <si>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</si>
  <si>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</si>
  <si>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</si>
  <si>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</si>
  <si>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</si>
  <si>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</si>
  <si>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</si>
  <si>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</si>
  <si>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</si>
  <si>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</si>
  <si>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</si>
  <si>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</si>
  <si>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</si>
  <si>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</si>
  <si>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</si>
  <si>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</si>
  <si>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</si>
  <si>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</si>
  <si>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</si>
  <si>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</si>
  <si>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</si>
  <si>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</si>
  <si>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</si>
  <si>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</si>
  <si>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</si>
  <si>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</si>
  <si>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</si>
  <si>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</si>
  <si>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</si>
  <si>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</si>
  <si>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</si>
  <si>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</si>
  <si>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</si>
  <si>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</si>
  <si>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</si>
  <si>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</si>
  <si>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</si>
  <si>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</si>
  <si>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</si>
  <si>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</si>
  <si>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</si>
  <si>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</si>
  <si>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</si>
  <si>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</si>
  <si>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</si>
  <si>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</si>
  <si>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</si>
  <si>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</si>
  <si>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</si>
  <si>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</si>
  <si>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</si>
  <si>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</si>
  <si>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</si>
  <si>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</si>
  <si>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</si>
  <si>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</si>
  <si>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</si>
  <si>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</si>
  <si>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</si>
  <si>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</si>
  <si>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Selskabsskat</t>
  </si>
  <si>
    <t>Ejendomsskatter</t>
  </si>
  <si>
    <t>Tjenestemandspensioner</t>
  </si>
  <si>
    <t>Erstatninger</t>
  </si>
  <si>
    <t>Nye stik 2022</t>
  </si>
  <si>
    <t>Ingen engangstillæg</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</si>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</sst>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0" fontId="8" fillId="0"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3" t="s">
        <v>4</v>
      </c>
      <c r="E6" s="103"/>
      <c r="F6" s="103"/>
      <c r="G6" s="103"/>
      <c r="H6" s="3"/>
      <c r="I6" s="1"/>
    </row>
    <row r="7" spans="1:9" ht="15" customHeight="1" x14ac:dyDescent="0.25">
      <c r="A7" s="1"/>
      <c r="B7" s="1"/>
      <c r="C7" s="3"/>
      <c r="D7" s="103"/>
      <c r="E7" s="103"/>
      <c r="F7" s="103"/>
      <c r="G7" s="103"/>
      <c r="H7" s="3"/>
      <c r="I7" s="1"/>
    </row>
    <row r="8" spans="1:9" ht="15.75" x14ac:dyDescent="0.25">
      <c r="A8" s="1"/>
      <c r="B8" s="1"/>
      <c r="C8" s="4"/>
      <c r="D8" s="108" t="s">
        <v>252</v>
      </c>
      <c r="E8" s="108"/>
      <c r="F8" s="108"/>
      <c r="G8" s="108"/>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7" t="s">
        <v>5</v>
      </c>
      <c r="E11" s="107"/>
      <c r="F11" s="107"/>
      <c r="G11" s="107"/>
      <c r="H11" s="5"/>
      <c r="I11" s="1"/>
    </row>
    <row r="12" spans="1:9" x14ac:dyDescent="0.25">
      <c r="A12" s="1"/>
      <c r="B12" s="1"/>
      <c r="C12" s="1"/>
      <c r="D12" s="1"/>
      <c r="E12" s="1"/>
      <c r="F12" s="1"/>
      <c r="G12" s="1"/>
      <c r="H12" s="5"/>
      <c r="I12" s="1"/>
    </row>
    <row r="13" spans="1:9" x14ac:dyDescent="0.25">
      <c r="A13" s="1"/>
      <c r="B13" s="1"/>
      <c r="C13" s="6" t="s">
        <v>6</v>
      </c>
      <c r="D13" s="109" t="s">
        <v>196</v>
      </c>
      <c r="E13" s="110"/>
      <c r="F13" s="110"/>
      <c r="G13" s="111"/>
      <c r="H13" s="5"/>
      <c r="I13" s="1"/>
    </row>
    <row r="14" spans="1:9" x14ac:dyDescent="0.25">
      <c r="A14" s="1"/>
      <c r="B14" s="1"/>
      <c r="C14" s="6" t="s">
        <v>16</v>
      </c>
      <c r="D14" s="100" t="s">
        <v>197</v>
      </c>
      <c r="E14" s="101"/>
      <c r="F14" s="101"/>
      <c r="G14" s="102"/>
      <c r="H14" s="5"/>
      <c r="I14" s="1"/>
    </row>
    <row r="15" spans="1:9" x14ac:dyDescent="0.25">
      <c r="A15" s="1"/>
      <c r="B15" s="1"/>
      <c r="C15" s="6" t="s">
        <v>31</v>
      </c>
      <c r="D15" s="100" t="s">
        <v>262</v>
      </c>
      <c r="E15" s="101"/>
      <c r="F15" s="101"/>
      <c r="G15" s="102"/>
      <c r="H15" s="5"/>
      <c r="I15" s="1"/>
    </row>
    <row r="16" spans="1:9" x14ac:dyDescent="0.25">
      <c r="A16" s="1"/>
      <c r="B16" s="1"/>
      <c r="C16" s="6" t="s">
        <v>32</v>
      </c>
      <c r="D16" s="100" t="s">
        <v>263</v>
      </c>
      <c r="E16" s="101"/>
      <c r="F16" s="101"/>
      <c r="G16" s="102"/>
      <c r="H16" s="5"/>
      <c r="I16" s="1"/>
    </row>
    <row r="17" spans="1:9" x14ac:dyDescent="0.25">
      <c r="A17" s="1"/>
      <c r="B17" s="1"/>
      <c r="C17" s="6" t="s">
        <v>101</v>
      </c>
      <c r="D17" s="100" t="s">
        <v>198</v>
      </c>
      <c r="E17" s="101"/>
      <c r="F17" s="101"/>
      <c r="G17" s="102"/>
      <c r="H17" s="5"/>
      <c r="I17" s="1"/>
    </row>
    <row r="18" spans="1:9" x14ac:dyDescent="0.25">
      <c r="A18" s="1"/>
      <c r="B18" s="1"/>
      <c r="C18" s="6" t="s">
        <v>88</v>
      </c>
      <c r="D18" s="97" t="s">
        <v>79</v>
      </c>
      <c r="E18" s="98"/>
      <c r="F18" s="98"/>
      <c r="G18" s="99"/>
      <c r="H18" s="5"/>
      <c r="I18" s="1"/>
    </row>
    <row r="19" spans="1:9" x14ac:dyDescent="0.25">
      <c r="A19" s="1"/>
      <c r="B19" s="1"/>
      <c r="C19" s="6" t="s">
        <v>89</v>
      </c>
      <c r="D19" s="97" t="s">
        <v>80</v>
      </c>
      <c r="E19" s="98"/>
      <c r="F19" s="98"/>
      <c r="G19" s="99"/>
      <c r="H19" s="5"/>
      <c r="I19" s="1"/>
    </row>
    <row r="20" spans="1:9" x14ac:dyDescent="0.25">
      <c r="A20" s="1"/>
      <c r="B20" s="1"/>
      <c r="C20" s="6" t="s">
        <v>7</v>
      </c>
      <c r="D20" s="97" t="s">
        <v>10</v>
      </c>
      <c r="E20" s="98"/>
      <c r="F20" s="98"/>
      <c r="G20" s="99"/>
      <c r="H20" s="5"/>
      <c r="I20" s="1"/>
    </row>
    <row r="21" spans="1:9" x14ac:dyDescent="0.25">
      <c r="A21" s="1"/>
      <c r="B21" s="1"/>
      <c r="C21" s="6" t="s">
        <v>90</v>
      </c>
      <c r="D21" s="104" t="s">
        <v>12</v>
      </c>
      <c r="E21" s="105"/>
      <c r="F21" s="105"/>
      <c r="G21" s="106"/>
      <c r="H21" s="5"/>
      <c r="I21" s="1"/>
    </row>
    <row r="22" spans="1:9" x14ac:dyDescent="0.25">
      <c r="A22" s="1"/>
      <c r="B22" s="1"/>
      <c r="C22" s="6" t="s">
        <v>71</v>
      </c>
      <c r="D22" s="91" t="s">
        <v>199</v>
      </c>
      <c r="E22" s="92"/>
      <c r="F22" s="92"/>
      <c r="G22" s="93"/>
      <c r="H22" s="5"/>
      <c r="I22" s="1"/>
    </row>
    <row r="23" spans="1:9" x14ac:dyDescent="0.25">
      <c r="A23" s="1"/>
      <c r="B23" s="1"/>
      <c r="C23" s="6" t="s">
        <v>8</v>
      </c>
      <c r="D23" s="91" t="s">
        <v>181</v>
      </c>
      <c r="E23" s="92"/>
      <c r="F23" s="92"/>
      <c r="G23" s="93"/>
      <c r="H23" s="5"/>
      <c r="I23" s="1"/>
    </row>
    <row r="24" spans="1:9" x14ac:dyDescent="0.25">
      <c r="A24" s="1"/>
      <c r="B24" s="1"/>
      <c r="C24" s="6" t="s">
        <v>9</v>
      </c>
      <c r="D24" s="91" t="s">
        <v>200</v>
      </c>
      <c r="E24" s="92"/>
      <c r="F24" s="92"/>
      <c r="G24" s="93"/>
      <c r="H24" s="5"/>
      <c r="I24" s="1"/>
    </row>
    <row r="25" spans="1:9" x14ac:dyDescent="0.25">
      <c r="A25" s="1"/>
      <c r="B25" s="1"/>
      <c r="C25" s="6" t="s">
        <v>166</v>
      </c>
      <c r="D25" s="91" t="s">
        <v>160</v>
      </c>
      <c r="E25" s="92"/>
      <c r="F25" s="92"/>
      <c r="G25" s="93"/>
      <c r="H25" s="1"/>
      <c r="I25" s="1"/>
    </row>
    <row r="26" spans="1:9" x14ac:dyDescent="0.25">
      <c r="A26" s="1"/>
      <c r="B26" s="1"/>
      <c r="C26" s="6" t="s">
        <v>167</v>
      </c>
      <c r="D26" s="91" t="s">
        <v>72</v>
      </c>
      <c r="E26" s="92"/>
      <c r="F26" s="92"/>
      <c r="G26" s="93"/>
      <c r="H26" s="1"/>
      <c r="I26" s="1"/>
    </row>
    <row r="27" spans="1:9" x14ac:dyDescent="0.25">
      <c r="A27" s="1"/>
      <c r="B27" s="1"/>
      <c r="C27" s="6" t="s">
        <v>168</v>
      </c>
      <c r="D27" s="91" t="s">
        <v>73</v>
      </c>
      <c r="E27" s="92"/>
      <c r="F27" s="92"/>
      <c r="G27" s="93"/>
      <c r="H27" s="1"/>
      <c r="I27" s="1"/>
    </row>
    <row r="28" spans="1:9" x14ac:dyDescent="0.25">
      <c r="A28" s="1"/>
      <c r="B28" s="1"/>
      <c r="C28" s="6" t="s">
        <v>15</v>
      </c>
      <c r="D28" s="91" t="s">
        <v>74</v>
      </c>
      <c r="E28" s="92"/>
      <c r="F28" s="92"/>
      <c r="G28" s="93"/>
      <c r="H28" s="1"/>
      <c r="I28" s="1"/>
    </row>
    <row r="29" spans="1:9" x14ac:dyDescent="0.25">
      <c r="A29" s="1"/>
      <c r="B29" s="1"/>
      <c r="C29" s="6" t="s">
        <v>34</v>
      </c>
      <c r="D29" s="91" t="s">
        <v>114</v>
      </c>
      <c r="E29" s="92"/>
      <c r="F29" s="92"/>
      <c r="G29" s="93"/>
      <c r="H29" s="1"/>
      <c r="I29" s="1"/>
    </row>
    <row r="30" spans="1:9" x14ac:dyDescent="0.25">
      <c r="A30" s="1"/>
      <c r="B30" s="1"/>
      <c r="C30" s="6" t="s">
        <v>35</v>
      </c>
      <c r="D30" s="91" t="s">
        <v>33</v>
      </c>
      <c r="E30" s="92"/>
      <c r="F30" s="92"/>
      <c r="G30" s="93"/>
      <c r="H30" s="1"/>
      <c r="I30" s="1"/>
    </row>
    <row r="31" spans="1:9" x14ac:dyDescent="0.25">
      <c r="A31" s="1"/>
      <c r="B31" s="1"/>
      <c r="C31" s="6" t="s">
        <v>169</v>
      </c>
      <c r="D31" s="94" t="s">
        <v>87</v>
      </c>
      <c r="E31" s="95"/>
      <c r="F31" s="95"/>
      <c r="G31" s="96"/>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7"/>
      <c r="B51" s="47"/>
      <c r="C51" s="47"/>
      <c r="D51" s="47"/>
      <c r="E51" s="47"/>
      <c r="F51" s="47"/>
      <c r="G51" s="47"/>
      <c r="H51" s="47"/>
      <c r="I51" s="47"/>
    </row>
  </sheetData>
  <sheetProtection algorithmName="SHA-512" hashValue="w8J+r6svDy6sRUVV8sVtpSVsSImCFLz/X94EZSs8BUT/OwEM2YRo7+L+tjAyOUWdbMmazeRS+HcgNYsagC09lA==" saltValue="eVZKHxqsZx8t/AszS8F63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93</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49" t="s">
        <v>225</v>
      </c>
      <c r="D9" s="11"/>
      <c r="E9" s="1"/>
      <c r="F9" s="1"/>
    </row>
    <row r="10" spans="1:6" ht="15" customHeight="1" x14ac:dyDescent="0.25">
      <c r="A10" s="1"/>
      <c r="B10" s="83" t="s">
        <v>272</v>
      </c>
      <c r="C10" s="9">
        <v>1264830.51</v>
      </c>
      <c r="D10" s="14" t="s">
        <v>3</v>
      </c>
      <c r="E10" s="1"/>
      <c r="F10" s="1"/>
    </row>
    <row r="11" spans="1:6" ht="15" customHeight="1" x14ac:dyDescent="0.25">
      <c r="A11" s="1"/>
      <c r="B11" s="83" t="s">
        <v>273</v>
      </c>
      <c r="C11" s="9">
        <v>93265</v>
      </c>
      <c r="D11" s="14" t="s">
        <v>3</v>
      </c>
      <c r="E11" s="1"/>
      <c r="F11" s="1"/>
    </row>
    <row r="12" spans="1:6" ht="26.25" x14ac:dyDescent="0.25">
      <c r="A12" s="1"/>
      <c r="B12" s="29" t="s">
        <v>274</v>
      </c>
      <c r="C12" s="9">
        <v>468712</v>
      </c>
      <c r="D12" s="14" t="s">
        <v>3</v>
      </c>
      <c r="E12" s="1"/>
      <c r="F12" s="1"/>
    </row>
    <row r="13" spans="1:6" x14ac:dyDescent="0.25">
      <c r="A13" s="1"/>
      <c r="B13" s="83" t="s">
        <v>275</v>
      </c>
      <c r="C13" s="9">
        <v>2697492</v>
      </c>
      <c r="D13" s="14" t="s">
        <v>3</v>
      </c>
      <c r="E13" s="1"/>
      <c r="F13" s="1"/>
    </row>
    <row r="14" spans="1:6" x14ac:dyDescent="0.25">
      <c r="A14" s="1"/>
      <c r="B14" s="83" t="s">
        <v>276</v>
      </c>
      <c r="C14" s="9">
        <v>54484.26</v>
      </c>
      <c r="D14" s="14" t="s">
        <v>3</v>
      </c>
      <c r="E14" s="1"/>
      <c r="F14" s="1"/>
    </row>
    <row r="15" spans="1:6" x14ac:dyDescent="0.25">
      <c r="A15" s="1"/>
      <c r="B15" s="83" t="s">
        <v>277</v>
      </c>
      <c r="C15" s="9">
        <v>26259</v>
      </c>
      <c r="D15" s="14" t="s">
        <v>3</v>
      </c>
      <c r="E15" s="1"/>
      <c r="F15" s="1"/>
    </row>
    <row r="16" spans="1:6" x14ac:dyDescent="0.25">
      <c r="A16" s="1"/>
      <c r="B16" s="83" t="s">
        <v>278</v>
      </c>
      <c r="C16" s="9">
        <v>44887.45</v>
      </c>
      <c r="D16" s="14" t="s">
        <v>3</v>
      </c>
      <c r="E16" s="1"/>
      <c r="F16" s="1"/>
    </row>
    <row r="17" spans="1:6" x14ac:dyDescent="0.25">
      <c r="A17" s="1"/>
      <c r="B17" s="83"/>
      <c r="C17" s="9"/>
      <c r="D17" s="14" t="s">
        <v>3</v>
      </c>
      <c r="E17" s="1"/>
      <c r="F17" s="1"/>
    </row>
    <row r="18" spans="1:6" x14ac:dyDescent="0.25">
      <c r="A18" s="1"/>
      <c r="B18" s="83"/>
      <c r="C18" s="9"/>
      <c r="D18" s="14" t="s">
        <v>3</v>
      </c>
      <c r="E18" s="1"/>
      <c r="F18" s="1"/>
    </row>
    <row r="19" spans="1:6" x14ac:dyDescent="0.25">
      <c r="A19" s="1"/>
      <c r="B19" s="83"/>
      <c r="C19" s="9"/>
      <c r="D19" s="14" t="s">
        <v>3</v>
      </c>
      <c r="E19" s="1"/>
      <c r="F19" s="1"/>
    </row>
    <row r="20" spans="1:6" x14ac:dyDescent="0.25">
      <c r="A20" s="1"/>
      <c r="B20" s="33" t="s">
        <v>226</v>
      </c>
      <c r="C20" s="12">
        <f>SUM(C10:C19)</f>
        <v>4649930.22</v>
      </c>
      <c r="D20" s="13" t="s">
        <v>3</v>
      </c>
      <c r="E20" s="1"/>
      <c r="F20" s="1"/>
    </row>
    <row r="21" spans="1:6" x14ac:dyDescent="0.25">
      <c r="A21" s="1"/>
      <c r="B21" s="33" t="s">
        <v>227</v>
      </c>
      <c r="C21" s="12">
        <f>C20*(1+'Fane 15. Nøgletal'!C16)^2</f>
        <v>5431716.6639835006</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3" t="s">
        <v>109</v>
      </c>
      <c r="C25" s="9">
        <v>1045594</v>
      </c>
      <c r="D25" s="14" t="s">
        <v>3</v>
      </c>
      <c r="E25" s="1"/>
      <c r="F25" s="1"/>
    </row>
    <row r="26" spans="1:6" x14ac:dyDescent="0.25">
      <c r="A26" s="1"/>
      <c r="B26" s="83" t="s">
        <v>123</v>
      </c>
      <c r="C26" s="9">
        <v>1045594</v>
      </c>
      <c r="D26" s="14" t="s">
        <v>3</v>
      </c>
      <c r="E26" s="1"/>
      <c r="F26" s="1"/>
    </row>
    <row r="27" spans="1:6" x14ac:dyDescent="0.25">
      <c r="A27" s="1"/>
      <c r="B27" s="83" t="s">
        <v>142</v>
      </c>
      <c r="C27" s="9">
        <v>1045594</v>
      </c>
      <c r="D27" s="14" t="s">
        <v>3</v>
      </c>
      <c r="E27" s="1"/>
      <c r="F27" s="1"/>
    </row>
    <row r="28" spans="1:6" x14ac:dyDescent="0.25">
      <c r="A28" s="1"/>
      <c r="B28" s="34" t="s">
        <v>261</v>
      </c>
      <c r="C28" s="9">
        <v>1045594</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3" t="s">
        <v>109</v>
      </c>
      <c r="C33" s="9">
        <v>651051</v>
      </c>
      <c r="D33" s="14" t="s">
        <v>3</v>
      </c>
      <c r="E33" s="1"/>
      <c r="F33" s="1"/>
    </row>
    <row r="34" spans="1:6" x14ac:dyDescent="0.25">
      <c r="A34" s="1"/>
      <c r="B34" s="83" t="s">
        <v>123</v>
      </c>
      <c r="C34" s="9">
        <v>651051</v>
      </c>
      <c r="D34" s="14" t="s">
        <v>3</v>
      </c>
      <c r="E34" s="1"/>
      <c r="F34" s="1"/>
    </row>
    <row r="35" spans="1:6" x14ac:dyDescent="0.25">
      <c r="A35" s="1"/>
      <c r="B35" s="83"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7"/>
      <c r="B50" s="47"/>
      <c r="C50" s="47"/>
      <c r="D50" s="47"/>
      <c r="E50" s="47"/>
      <c r="F50" s="47"/>
    </row>
    <row r="51" spans="1:6" x14ac:dyDescent="0.25">
      <c r="A51" s="47"/>
      <c r="B51" s="47"/>
      <c r="C51" s="47"/>
      <c r="D51" s="47"/>
      <c r="E51" s="47"/>
      <c r="F51" s="47"/>
    </row>
    <row r="52" spans="1:6" x14ac:dyDescent="0.25">
      <c r="A52" s="47"/>
      <c r="B52" s="47"/>
      <c r="C52" s="47"/>
      <c r="D52" s="47"/>
      <c r="E52" s="47"/>
      <c r="F52" s="47"/>
    </row>
    <row r="53" spans="1:6" x14ac:dyDescent="0.25">
      <c r="A53" s="47"/>
      <c r="B53" s="47"/>
      <c r="C53" s="47"/>
      <c r="D53" s="47"/>
      <c r="E53" s="47"/>
      <c r="F53" s="47"/>
    </row>
    <row r="54" spans="1:6" x14ac:dyDescent="0.25">
      <c r="A54" s="47"/>
      <c r="B54" s="47"/>
      <c r="C54" s="47"/>
      <c r="D54" s="47"/>
      <c r="E54" s="47"/>
      <c r="F54" s="47"/>
    </row>
    <row r="55" spans="1:6" x14ac:dyDescent="0.25">
      <c r="A55" s="47"/>
      <c r="B55" s="47"/>
      <c r="C55" s="47"/>
      <c r="D55" s="47"/>
      <c r="E55" s="47"/>
      <c r="F55" s="47"/>
    </row>
    <row r="56" spans="1:6" x14ac:dyDescent="0.25">
      <c r="A56" s="47"/>
      <c r="B56" s="47"/>
      <c r="C56" s="47"/>
      <c r="D56" s="47"/>
      <c r="E56" s="47"/>
      <c r="F56" s="47"/>
    </row>
  </sheetData>
  <sheetProtection algorithmName="SHA-512" hashValue="EbzPBJ2Yp92wQ9OimhEzqvMNvWhPQWV/Fe3teBaWf64PPY6mm6dEs0tw/vt5UAgBBjdhFTfPoQ3c26p8J/4K1g==" saltValue="39ZG3C6lpT5x1DCc40lGV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E3D1-4EA9-4842-974B-D9FE20AE1C69}">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6"/>
      <c r="C5" s="76"/>
      <c r="D5" s="76"/>
      <c r="E5" s="76"/>
      <c r="F5" s="76"/>
      <c r="G5" s="1"/>
    </row>
    <row r="6" spans="1:7" ht="15" customHeight="1" x14ac:dyDescent="0.25">
      <c r="A6" s="1"/>
      <c r="B6" s="76"/>
      <c r="C6" s="76"/>
      <c r="D6" s="76"/>
      <c r="E6" s="76"/>
      <c r="F6" s="76"/>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281</v>
      </c>
      <c r="C9" s="120"/>
      <c r="D9" s="121"/>
      <c r="E9" s="9">
        <v>2713161</v>
      </c>
      <c r="F9" s="14" t="s">
        <v>3</v>
      </c>
      <c r="G9" s="1"/>
    </row>
    <row r="10" spans="1:7" ht="15" customHeight="1" x14ac:dyDescent="0.25">
      <c r="A10" s="1"/>
      <c r="B10" s="119" t="s">
        <v>143</v>
      </c>
      <c r="C10" s="120"/>
      <c r="D10" s="121"/>
      <c r="E10" s="9">
        <v>6047115</v>
      </c>
      <c r="F10" s="14" t="s">
        <v>3</v>
      </c>
      <c r="G10" s="1"/>
    </row>
    <row r="11" spans="1:7" ht="15" customHeight="1" x14ac:dyDescent="0.25">
      <c r="A11" s="1"/>
      <c r="B11" s="119" t="s">
        <v>282</v>
      </c>
      <c r="C11" s="120"/>
      <c r="D11" s="121"/>
      <c r="E11" s="9">
        <v>1217000</v>
      </c>
      <c r="F11" s="14" t="s">
        <v>3</v>
      </c>
      <c r="G11" s="1"/>
    </row>
    <row r="12" spans="1:7" x14ac:dyDescent="0.25">
      <c r="A12" s="1"/>
      <c r="B12" s="33"/>
      <c r="C12" s="28"/>
      <c r="D12" s="28"/>
      <c r="E12" s="28"/>
      <c r="F12" s="19"/>
      <c r="G12" s="1"/>
    </row>
    <row r="13" spans="1:7" ht="42" customHeight="1" x14ac:dyDescent="0.25">
      <c r="A13" s="1"/>
      <c r="B13" s="128" t="s">
        <v>283</v>
      </c>
      <c r="C13" s="129"/>
      <c r="D13" s="129"/>
      <c r="E13" s="129"/>
      <c r="F13" s="130"/>
      <c r="G13" s="1"/>
    </row>
    <row r="14" spans="1:7" ht="15" customHeight="1" x14ac:dyDescent="0.25">
      <c r="A14" s="1"/>
      <c r="B14" s="1"/>
      <c r="C14" s="1"/>
      <c r="D14" s="1"/>
      <c r="E14" s="1"/>
      <c r="F14" s="1"/>
      <c r="G14" s="1"/>
    </row>
    <row r="15" spans="1:7" x14ac:dyDescent="0.25">
      <c r="A15" s="1"/>
      <c r="B15" s="77" t="s">
        <v>284</v>
      </c>
      <c r="C15" s="78"/>
      <c r="D15" s="78"/>
      <c r="E15" s="78"/>
      <c r="F15" s="79"/>
      <c r="G15" s="1"/>
    </row>
    <row r="16" spans="1:7" x14ac:dyDescent="0.25">
      <c r="A16" s="1"/>
      <c r="B16" s="80" t="s">
        <v>285</v>
      </c>
      <c r="C16" s="81"/>
      <c r="D16" s="82"/>
      <c r="E16" s="9">
        <f>IF(E11&lt;0,E11,0)</f>
        <v>0</v>
      </c>
      <c r="F16" s="14" t="s">
        <v>3</v>
      </c>
      <c r="G16" s="1"/>
    </row>
    <row r="17" spans="1:7" x14ac:dyDescent="0.25">
      <c r="A17" s="1"/>
      <c r="B17" s="80" t="s">
        <v>286</v>
      </c>
      <c r="C17" s="81"/>
      <c r="D17" s="82"/>
      <c r="E17" s="9">
        <f>IF(SUM(E10)&gt;0,SUM(E10),0)</f>
        <v>6047115</v>
      </c>
      <c r="F17" s="14" t="s">
        <v>3</v>
      </c>
      <c r="G17" s="1"/>
    </row>
    <row r="18" spans="1:7" x14ac:dyDescent="0.25">
      <c r="A18" s="1"/>
      <c r="B18" s="84" t="s">
        <v>287</v>
      </c>
      <c r="C18" s="85"/>
      <c r="D18" s="86"/>
      <c r="E18" s="61">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7" t="s">
        <v>288</v>
      </c>
      <c r="C21" s="78"/>
      <c r="D21" s="78"/>
      <c r="E21" s="78"/>
      <c r="F21" s="79"/>
      <c r="G21" s="1"/>
    </row>
    <row r="22" spans="1:7" x14ac:dyDescent="0.25">
      <c r="A22" s="1"/>
      <c r="B22" s="80" t="s">
        <v>289</v>
      </c>
      <c r="C22" s="81"/>
      <c r="D22" s="82"/>
      <c r="E22" s="9">
        <v>68673196</v>
      </c>
      <c r="F22" s="14" t="s">
        <v>3</v>
      </c>
      <c r="G22" s="1"/>
    </row>
    <row r="23" spans="1:7" x14ac:dyDescent="0.25">
      <c r="A23" s="1"/>
      <c r="B23" s="80" t="s">
        <v>290</v>
      </c>
      <c r="C23" s="81"/>
      <c r="D23" s="82"/>
      <c r="E23" s="9">
        <v>69503628</v>
      </c>
      <c r="F23" s="14" t="s">
        <v>3</v>
      </c>
      <c r="G23" s="1"/>
    </row>
    <row r="24" spans="1:7" x14ac:dyDescent="0.25">
      <c r="A24" s="1"/>
      <c r="B24" s="80" t="s">
        <v>30</v>
      </c>
      <c r="C24" s="81"/>
      <c r="D24" s="82"/>
      <c r="E24" s="9">
        <v>0</v>
      </c>
      <c r="F24" s="14" t="s">
        <v>3</v>
      </c>
      <c r="G24" s="1"/>
    </row>
    <row r="25" spans="1:7" x14ac:dyDescent="0.25">
      <c r="A25" s="1"/>
      <c r="B25" s="84" t="s">
        <v>291</v>
      </c>
      <c r="C25" s="85"/>
      <c r="D25" s="86"/>
      <c r="E25" s="61">
        <f>E22-E23-E24</f>
        <v>-830432</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292</v>
      </c>
      <c r="C28" s="117"/>
      <c r="D28" s="117"/>
      <c r="E28" s="117"/>
      <c r="F28" s="118"/>
      <c r="G28" s="1"/>
    </row>
    <row r="29" spans="1:7" x14ac:dyDescent="0.25">
      <c r="A29" s="1"/>
      <c r="B29" s="134" t="s">
        <v>116</v>
      </c>
      <c r="C29" s="135"/>
      <c r="D29" s="136"/>
      <c r="E29" s="9">
        <f>IF(E18&lt;0,IF(E25&lt;0,SUM(E18,E25),IF(E10&gt;0,SUM(E10:E11),E18)),IF(AND(E25&lt;0,SUM(E25,E11)&lt;0),IF(E11&lt;0,E25,IF(SUM(E10:E11)&gt;0,SUM(E25,E11),IF(AND(E25&lt;0,E18=0,E11&gt;0),IF(SUM(E9:E11)&gt;0,E25+E11,E25)))),0))</f>
        <v>0</v>
      </c>
      <c r="F29" s="14" t="s">
        <v>3</v>
      </c>
      <c r="G29" s="1"/>
    </row>
    <row r="30" spans="1:7" x14ac:dyDescent="0.25">
      <c r="A30" s="1"/>
      <c r="B30" s="134" t="s">
        <v>84</v>
      </c>
      <c r="C30" s="135"/>
      <c r="D30" s="136"/>
      <c r="E30" s="9">
        <v>2</v>
      </c>
      <c r="F30" s="14" t="s">
        <v>20</v>
      </c>
      <c r="G30" s="1"/>
    </row>
    <row r="31" spans="1:7" x14ac:dyDescent="0.25">
      <c r="A31" s="1"/>
      <c r="B31" s="137" t="s">
        <v>117</v>
      </c>
      <c r="C31" s="138"/>
      <c r="D31" s="139"/>
      <c r="E31" s="10">
        <f>E29/E30</f>
        <v>0</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7"/>
      <c r="B46" s="47"/>
      <c r="C46" s="47"/>
      <c r="D46" s="47"/>
      <c r="E46" s="47"/>
      <c r="F46" s="47"/>
      <c r="G46" s="47"/>
    </row>
    <row r="47" spans="1:7" x14ac:dyDescent="0.25">
      <c r="A47" s="47"/>
      <c r="B47" s="47"/>
      <c r="C47" s="47"/>
      <c r="D47" s="47"/>
      <c r="E47" s="47"/>
      <c r="F47" s="47"/>
      <c r="G47" s="47"/>
    </row>
    <row r="48" spans="1:7" x14ac:dyDescent="0.25">
      <c r="A48" s="47"/>
      <c r="B48" s="47"/>
      <c r="C48" s="47"/>
      <c r="D48" s="47"/>
      <c r="E48" s="47"/>
      <c r="F48" s="47"/>
      <c r="G48" s="47"/>
    </row>
    <row r="49" spans="1:7" x14ac:dyDescent="0.25">
      <c r="A49" s="47"/>
      <c r="B49" s="47"/>
      <c r="C49" s="47"/>
      <c r="D49" s="47"/>
      <c r="E49" s="47"/>
      <c r="F49" s="47"/>
      <c r="G49" s="47"/>
    </row>
    <row r="50" spans="1:7" x14ac:dyDescent="0.25">
      <c r="A50" s="47"/>
      <c r="B50" s="47"/>
      <c r="C50" s="47"/>
      <c r="D50" s="47"/>
      <c r="E50" s="47"/>
      <c r="F50" s="47"/>
      <c r="G50" s="47"/>
    </row>
    <row r="51" spans="1:7" x14ac:dyDescent="0.25">
      <c r="A51" s="47"/>
      <c r="G51" s="47"/>
    </row>
  </sheetData>
  <sheetProtection algorithmName="SHA-512" hashValue="2i5XM4qmpKAWTWlOy+hIjM9sCeXdU7WOnPjBhrcztBL5vQ9AiatUPdjQpUZX9iqF8dvwgvLWcA+8ji1h8TDrRA==" saltValue="MKrDm7KnB67T6zPuDyxS/A=="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0" customWidth="1"/>
    <col min="2" max="2" width="22.5703125" style="60" customWidth="1"/>
    <col min="3" max="3" width="8.28515625" style="60" customWidth="1"/>
    <col min="4" max="6" width="10.7109375" style="60" customWidth="1"/>
    <col min="7" max="7" width="11.140625" style="60" customWidth="1"/>
    <col min="8" max="8" width="3.28515625" style="60" customWidth="1"/>
    <col min="9" max="9" width="4.85546875" style="60" customWidth="1"/>
    <col min="10" max="16384" width="9.140625" style="6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170</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6" t="s">
        <v>171</v>
      </c>
      <c r="C9" s="147"/>
      <c r="D9" s="147"/>
      <c r="E9" s="147"/>
      <c r="F9" s="147"/>
      <c r="G9" s="147"/>
      <c r="H9" s="148"/>
      <c r="I9" s="1"/>
    </row>
    <row r="10" spans="1:9" x14ac:dyDescent="0.25">
      <c r="A10" s="1"/>
      <c r="B10" s="143" t="s">
        <v>172</v>
      </c>
      <c r="C10" s="144"/>
      <c r="D10" s="144"/>
      <c r="E10" s="144"/>
      <c r="F10" s="145"/>
      <c r="G10" s="9">
        <v>0</v>
      </c>
      <c r="H10" s="9" t="s">
        <v>3</v>
      </c>
      <c r="I10" s="1"/>
    </row>
    <row r="11" spans="1:9" x14ac:dyDescent="0.25">
      <c r="A11" s="1"/>
      <c r="B11" s="143" t="s">
        <v>173</v>
      </c>
      <c r="C11" s="144"/>
      <c r="D11" s="144"/>
      <c r="E11" s="144"/>
      <c r="F11" s="145"/>
      <c r="G11" s="9">
        <v>0</v>
      </c>
      <c r="H11" s="9" t="s">
        <v>3</v>
      </c>
      <c r="I11" s="1"/>
    </row>
    <row r="12" spans="1:9" x14ac:dyDescent="0.25">
      <c r="A12" s="1"/>
      <c r="B12" s="143" t="s">
        <v>174</v>
      </c>
      <c r="C12" s="144"/>
      <c r="D12" s="144"/>
      <c r="E12" s="144"/>
      <c r="F12" s="145"/>
      <c r="G12" s="9">
        <v>0</v>
      </c>
      <c r="H12" s="9" t="s">
        <v>3</v>
      </c>
      <c r="I12" s="1"/>
    </row>
    <row r="13" spans="1:9" x14ac:dyDescent="0.25">
      <c r="A13" s="1"/>
      <c r="B13" s="143" t="s">
        <v>175</v>
      </c>
      <c r="C13" s="144"/>
      <c r="D13" s="144"/>
      <c r="E13" s="144"/>
      <c r="F13" s="145"/>
      <c r="G13" s="9">
        <v>0</v>
      </c>
      <c r="H13" s="9" t="s">
        <v>3</v>
      </c>
      <c r="I13" s="1"/>
    </row>
    <row r="14" spans="1:9" x14ac:dyDescent="0.25">
      <c r="A14" s="1"/>
      <c r="B14" s="143" t="s">
        <v>176</v>
      </c>
      <c r="C14" s="144"/>
      <c r="D14" s="144"/>
      <c r="E14" s="144"/>
      <c r="F14" s="145"/>
      <c r="G14" s="9">
        <v>0</v>
      </c>
      <c r="H14" s="9" t="s">
        <v>3</v>
      </c>
      <c r="I14" s="1"/>
    </row>
    <row r="15" spans="1:9" x14ac:dyDescent="0.25">
      <c r="A15" s="1"/>
      <c r="B15" s="143" t="s">
        <v>177</v>
      </c>
      <c r="C15" s="144"/>
      <c r="D15" s="144"/>
      <c r="E15" s="144"/>
      <c r="F15" s="145"/>
      <c r="G15" s="9">
        <v>0</v>
      </c>
      <c r="H15" s="9" t="s">
        <v>3</v>
      </c>
      <c r="I15" s="1"/>
    </row>
    <row r="16" spans="1:9" x14ac:dyDescent="0.25">
      <c r="A16" s="1"/>
      <c r="B16" s="143" t="s">
        <v>178</v>
      </c>
      <c r="C16" s="144"/>
      <c r="D16" s="144"/>
      <c r="E16" s="144"/>
      <c r="F16" s="145"/>
      <c r="G16" s="9">
        <v>0</v>
      </c>
      <c r="H16" s="9" t="s">
        <v>3</v>
      </c>
      <c r="I16" s="1"/>
    </row>
    <row r="17" spans="1:9" x14ac:dyDescent="0.25">
      <c r="A17" s="1"/>
      <c r="B17" s="143" t="s">
        <v>179</v>
      </c>
      <c r="C17" s="144"/>
      <c r="D17" s="144"/>
      <c r="E17" s="144"/>
      <c r="F17" s="145"/>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Gbkmet+aJLecLvVD6gqf4bkfIOyLJuC8feOaf7vHra9MAXMZ/K4guNw8lmDEuIuFSGozdAGbS5bX2pORdeGzNQ==" saltValue="XnUJFbSFXs/5XaVr6x+Fvw=="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28" t="s">
        <v>82</v>
      </c>
      <c r="C10" s="129"/>
      <c r="D10" s="130"/>
      <c r="E10" s="7">
        <v>0</v>
      </c>
      <c r="F10" s="8" t="s">
        <v>3</v>
      </c>
      <c r="G10" s="1"/>
    </row>
    <row r="11" spans="1:7" x14ac:dyDescent="0.25">
      <c r="A11" s="1"/>
      <c r="B11" s="119" t="s">
        <v>229</v>
      </c>
      <c r="C11" s="120"/>
      <c r="D11" s="121"/>
      <c r="E11" s="7">
        <v>0</v>
      </c>
      <c r="F11" s="8" t="s">
        <v>3</v>
      </c>
      <c r="G11" s="1"/>
    </row>
    <row r="12" spans="1:7" x14ac:dyDescent="0.25">
      <c r="A12" s="1"/>
      <c r="B12" s="137" t="s">
        <v>83</v>
      </c>
      <c r="C12" s="138"/>
      <c r="D12" s="139"/>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1045594</v>
      </c>
      <c r="F14" s="8" t="s">
        <v>3</v>
      </c>
      <c r="G14" s="1"/>
    </row>
    <row r="15" spans="1:7" x14ac:dyDescent="0.25">
      <c r="A15" s="1"/>
      <c r="B15" s="128" t="s">
        <v>231</v>
      </c>
      <c r="C15" s="129"/>
      <c r="D15" s="130"/>
      <c r="E15" s="7">
        <v>680192</v>
      </c>
      <c r="F15" s="8" t="s">
        <v>3</v>
      </c>
      <c r="G15" s="1"/>
    </row>
    <row r="16" spans="1:7" x14ac:dyDescent="0.25">
      <c r="A16" s="1"/>
      <c r="B16" s="137" t="s">
        <v>83</v>
      </c>
      <c r="C16" s="138"/>
      <c r="D16" s="139"/>
      <c r="E16" s="10">
        <f>E15-E14</f>
        <v>-365402</v>
      </c>
      <c r="F16" s="11" t="s">
        <v>3</v>
      </c>
      <c r="G16" s="1"/>
    </row>
    <row r="17" spans="1:7" x14ac:dyDescent="0.25">
      <c r="A17" s="1"/>
      <c r="B17" s="33" t="s">
        <v>232</v>
      </c>
      <c r="C17" s="28"/>
      <c r="D17" s="28"/>
      <c r="E17" s="12">
        <f>E12+E16</f>
        <v>-365402</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NQutQdX1VKA/oldYSQpPEOyXW2IX9y+670aEju48D4++5f5MRI+Vw27teZjxMlHaSkmSl7wVRzv183UmO9xtg==" saltValue="uiDlvVsePnMGXC+mQcRIl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182</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9" t="s">
        <v>165</v>
      </c>
      <c r="E9" s="150"/>
      <c r="F9" s="149" t="s">
        <v>2</v>
      </c>
      <c r="G9" s="150"/>
      <c r="H9" s="149" t="s">
        <v>164</v>
      </c>
      <c r="I9" s="150"/>
      <c r="J9" s="149" t="s">
        <v>27</v>
      </c>
      <c r="K9" s="150"/>
      <c r="L9" s="1"/>
    </row>
    <row r="10" spans="1:12" x14ac:dyDescent="0.25">
      <c r="A10" s="1"/>
      <c r="B10" s="87" t="s">
        <v>265</v>
      </c>
      <c r="C10" s="9">
        <v>0</v>
      </c>
      <c r="D10" s="9">
        <v>0</v>
      </c>
      <c r="E10" s="14" t="s">
        <v>3</v>
      </c>
      <c r="F10" s="9">
        <v>0</v>
      </c>
      <c r="G10" s="14" t="s">
        <v>3</v>
      </c>
      <c r="H10" s="41">
        <v>0</v>
      </c>
      <c r="I10" s="14" t="s">
        <v>3</v>
      </c>
      <c r="J10" s="41">
        <v>0</v>
      </c>
      <c r="K10" s="14" t="s">
        <v>3</v>
      </c>
      <c r="L10" s="1"/>
    </row>
    <row r="11" spans="1:12" x14ac:dyDescent="0.25">
      <c r="A11" s="1"/>
      <c r="B11" s="77" t="s">
        <v>150</v>
      </c>
      <c r="C11" s="78"/>
      <c r="D11" s="79"/>
      <c r="E11" s="79"/>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7"/>
      <c r="B45" s="47"/>
      <c r="C45" s="47"/>
      <c r="D45" s="47"/>
      <c r="E45" s="47"/>
      <c r="F45" s="47"/>
      <c r="G45" s="47"/>
      <c r="H45" s="47"/>
      <c r="I45" s="47"/>
      <c r="J45" s="47"/>
      <c r="K45" s="47"/>
      <c r="L45" s="47"/>
    </row>
    <row r="46" spans="1:12" x14ac:dyDescent="0.25">
      <c r="A46" s="47"/>
      <c r="B46" s="47"/>
      <c r="C46" s="47"/>
      <c r="D46" s="47"/>
      <c r="E46" s="47"/>
      <c r="F46" s="47"/>
      <c r="G46" s="47"/>
      <c r="H46" s="47"/>
      <c r="I46" s="47"/>
      <c r="J46" s="47"/>
      <c r="K46" s="47"/>
      <c r="L46" s="47"/>
    </row>
  </sheetData>
  <sheetProtection algorithmName="SHA-512" hashValue="tYa3X2ib1unvMjvFhgjeMm6GOi9BtLWG9Qd/xSZzwYIcx3dbh2NngY/seTRUy3rTin/3cMAc1O4RY5kllEreDg==" saltValue="8Pjr69qoAZS6+aO6/6J5F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183</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8" t="s">
        <v>17</v>
      </c>
      <c r="C9" s="88" t="s">
        <v>11</v>
      </c>
      <c r="D9" s="89"/>
      <c r="E9" s="88"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279</v>
      </c>
      <c r="C11" s="21">
        <v>461912</v>
      </c>
      <c r="D11" s="14" t="s">
        <v>3</v>
      </c>
      <c r="E11" s="9">
        <v>47224.78</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461912</v>
      </c>
      <c r="D19" s="13" t="s">
        <v>3</v>
      </c>
      <c r="E19" s="12">
        <f>SUM(E10:E18)</f>
        <v>47224.78</v>
      </c>
      <c r="F19" s="13" t="s">
        <v>3</v>
      </c>
      <c r="G19" s="1"/>
    </row>
    <row r="20" spans="1:7" x14ac:dyDescent="0.25">
      <c r="A20" s="1"/>
      <c r="B20" s="33" t="s">
        <v>233</v>
      </c>
      <c r="C20" s="12">
        <f>C19*(1+'Fane 15. Nøgletal'!C16)</f>
        <v>499234.48959999997</v>
      </c>
      <c r="D20" s="13" t="s">
        <v>3</v>
      </c>
      <c r="E20" s="12">
        <f>E19*(1+'Fane 15. Nøgletal'!C16)</f>
        <v>51040.542223999997</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2xydGZW4sofQNBW8VaKhIHFljkoVzr5kn1frStCi0goQBIUeIoCGfR/wm6FsyTdJnF8smZWbmUssSWlFnTOA==" saltValue="2Fy8jITowrYwWD4vEgD4q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184</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8" t="s">
        <v>17</v>
      </c>
      <c r="C9" s="88" t="s">
        <v>11</v>
      </c>
      <c r="D9" s="89"/>
      <c r="E9" s="88" t="s">
        <v>28</v>
      </c>
      <c r="F9" s="32"/>
      <c r="G9" s="1"/>
    </row>
    <row r="10" spans="1:7" x14ac:dyDescent="0.25">
      <c r="A10" s="1"/>
      <c r="B10" s="24" t="s">
        <v>280</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1"/>
      <c r="C16" s="151"/>
      <c r="D16" s="151"/>
      <c r="E16" s="151"/>
      <c r="F16" s="151"/>
      <c r="G16" s="1"/>
    </row>
    <row r="17" spans="1:7" x14ac:dyDescent="0.25">
      <c r="A17" s="1"/>
      <c r="B17" s="51"/>
      <c r="C17" s="51"/>
      <c r="D17" s="51"/>
      <c r="E17" s="51"/>
      <c r="F17" s="52"/>
      <c r="G17" s="1"/>
    </row>
    <row r="18" spans="1:7" x14ac:dyDescent="0.25">
      <c r="A18" s="1"/>
      <c r="B18" s="53"/>
      <c r="C18" s="54"/>
      <c r="D18" s="55"/>
      <c r="E18" s="56"/>
      <c r="F18" s="55"/>
      <c r="G18" s="1"/>
    </row>
    <row r="19" spans="1:7" x14ac:dyDescent="0.25">
      <c r="A19" s="1"/>
      <c r="B19" s="53"/>
      <c r="C19" s="54"/>
      <c r="D19" s="55"/>
      <c r="E19" s="56"/>
      <c r="F19" s="55"/>
      <c r="G19" s="1"/>
    </row>
    <row r="20" spans="1:7" x14ac:dyDescent="0.25">
      <c r="A20" s="1"/>
      <c r="B20" s="57"/>
      <c r="C20" s="58"/>
      <c r="D20" s="59"/>
      <c r="E20" s="58"/>
      <c r="F20" s="59"/>
      <c r="G20" s="1"/>
    </row>
    <row r="21" spans="1:7" x14ac:dyDescent="0.25">
      <c r="A21" s="1"/>
      <c r="B21" s="57"/>
      <c r="C21" s="58"/>
      <c r="D21" s="59"/>
      <c r="E21" s="58"/>
      <c r="F21" s="59"/>
      <c r="G21" s="1"/>
    </row>
    <row r="22" spans="1:7" x14ac:dyDescent="0.25">
      <c r="A22" s="1"/>
      <c r="B22" s="50"/>
      <c r="C22" s="50"/>
      <c r="D22" s="50"/>
      <c r="E22" s="50"/>
      <c r="F22" s="50"/>
      <c r="G22" s="1"/>
    </row>
    <row r="23" spans="1:7" x14ac:dyDescent="0.25">
      <c r="A23" s="1"/>
      <c r="B23" s="151"/>
      <c r="C23" s="151"/>
      <c r="D23" s="151"/>
      <c r="E23" s="151"/>
      <c r="F23" s="151"/>
      <c r="G23" s="1"/>
    </row>
    <row r="24" spans="1:7" x14ac:dyDescent="0.25">
      <c r="A24" s="1"/>
      <c r="B24" s="51"/>
      <c r="C24" s="51"/>
      <c r="D24" s="51"/>
      <c r="E24" s="51"/>
      <c r="F24" s="52"/>
      <c r="G24" s="1"/>
    </row>
    <row r="25" spans="1:7" x14ac:dyDescent="0.25">
      <c r="A25" s="1"/>
      <c r="B25" s="53"/>
      <c r="C25" s="54"/>
      <c r="D25" s="55"/>
      <c r="E25" s="56"/>
      <c r="F25" s="55"/>
      <c r="G25" s="1"/>
    </row>
    <row r="26" spans="1:7" x14ac:dyDescent="0.25">
      <c r="A26" s="1"/>
      <c r="B26" s="53"/>
      <c r="C26" s="54"/>
      <c r="D26" s="55"/>
      <c r="E26" s="56"/>
      <c r="F26" s="55"/>
      <c r="G26" s="1"/>
    </row>
    <row r="27" spans="1:7" x14ac:dyDescent="0.25">
      <c r="A27" s="1"/>
      <c r="B27" s="57"/>
      <c r="C27" s="58"/>
      <c r="D27" s="59"/>
      <c r="E27" s="58"/>
      <c r="F27" s="59"/>
      <c r="G27" s="1"/>
    </row>
    <row r="28" spans="1:7" x14ac:dyDescent="0.25">
      <c r="A28" s="1"/>
      <c r="B28" s="57"/>
      <c r="C28" s="58"/>
      <c r="D28" s="59"/>
      <c r="E28" s="58"/>
      <c r="F28" s="59"/>
      <c r="G28" s="1"/>
    </row>
    <row r="29" spans="1:7" x14ac:dyDescent="0.25">
      <c r="A29" s="1"/>
      <c r="B29" s="50"/>
      <c r="C29" s="50"/>
      <c r="D29" s="50"/>
      <c r="E29" s="50"/>
      <c r="F29" s="50"/>
      <c r="G29" s="1"/>
    </row>
    <row r="30" spans="1:7" x14ac:dyDescent="0.25">
      <c r="A30" s="1"/>
      <c r="B30" s="151"/>
      <c r="C30" s="151"/>
      <c r="D30" s="151"/>
      <c r="E30" s="151"/>
      <c r="F30" s="151"/>
      <c r="G30" s="1"/>
    </row>
    <row r="31" spans="1:7" x14ac:dyDescent="0.25">
      <c r="A31" s="1"/>
      <c r="B31" s="51"/>
      <c r="C31" s="51"/>
      <c r="D31" s="51"/>
      <c r="E31" s="51"/>
      <c r="F31" s="52"/>
      <c r="G31" s="1"/>
    </row>
    <row r="32" spans="1:7" x14ac:dyDescent="0.25">
      <c r="A32" s="1"/>
      <c r="B32" s="53"/>
      <c r="C32" s="54"/>
      <c r="D32" s="55"/>
      <c r="E32" s="56"/>
      <c r="F32" s="55"/>
      <c r="G32" s="1"/>
    </row>
    <row r="33" spans="1:7" x14ac:dyDescent="0.25">
      <c r="A33" s="1"/>
      <c r="B33" s="53"/>
      <c r="C33" s="54"/>
      <c r="D33" s="55"/>
      <c r="E33" s="56"/>
      <c r="F33" s="55"/>
      <c r="G33" s="1"/>
    </row>
    <row r="34" spans="1:7" x14ac:dyDescent="0.25">
      <c r="A34" s="1"/>
      <c r="B34" s="57"/>
      <c r="C34" s="58"/>
      <c r="D34" s="59"/>
      <c r="E34" s="58"/>
      <c r="F34" s="59"/>
      <c r="G34" s="1"/>
    </row>
    <row r="35" spans="1:7" x14ac:dyDescent="0.25">
      <c r="A35" s="1"/>
      <c r="B35" s="57"/>
      <c r="C35" s="58"/>
      <c r="D35" s="59"/>
      <c r="E35" s="58"/>
      <c r="F35" s="59"/>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2mcxXCyJMIBKtPX6fDa2CBRY0RB04ql3ZKudf4Qk4ZL6UzL5U8kBG3BzO1ZCdSaxZwl3aTX8oKWycc/jVf/8A==" saltValue="jeONZNUGoCeIkD/xBG++A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3" t="s">
        <v>236</v>
      </c>
      <c r="C10" s="144"/>
      <c r="D10" s="145"/>
      <c r="E10" s="9">
        <v>0</v>
      </c>
      <c r="F10" s="14" t="s">
        <v>3</v>
      </c>
      <c r="G10" s="1"/>
    </row>
    <row r="11" spans="1:7" x14ac:dyDescent="0.25">
      <c r="A11" s="1"/>
      <c r="B11" s="152" t="s">
        <v>10</v>
      </c>
      <c r="C11" s="153"/>
      <c r="D11" s="154"/>
      <c r="E11" s="9">
        <f>-E10*'Fane 5. Individuelt eff. krav'!G9</f>
        <v>0</v>
      </c>
      <c r="F11" s="14" t="s">
        <v>3</v>
      </c>
      <c r="G11" s="1"/>
    </row>
    <row r="12" spans="1:7" x14ac:dyDescent="0.25">
      <c r="A12" s="1"/>
      <c r="B12" s="152" t="s">
        <v>23</v>
      </c>
      <c r="C12" s="153"/>
      <c r="D12" s="154"/>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3" t="s">
        <v>236</v>
      </c>
      <c r="C16" s="144"/>
      <c r="D16" s="145"/>
      <c r="E16" s="9">
        <v>0</v>
      </c>
      <c r="F16" s="14" t="s">
        <v>3</v>
      </c>
      <c r="G16" s="1"/>
    </row>
    <row r="17" spans="1:7" x14ac:dyDescent="0.25">
      <c r="A17" s="1"/>
      <c r="B17" s="152" t="s">
        <v>10</v>
      </c>
      <c r="C17" s="153"/>
      <c r="D17" s="154"/>
      <c r="E17" s="9">
        <f>-E16*'Fane 5. Individuelt eff. krav'!G9</f>
        <v>0</v>
      </c>
      <c r="F17" s="14" t="s">
        <v>3</v>
      </c>
      <c r="G17" s="1"/>
    </row>
    <row r="18" spans="1:7" x14ac:dyDescent="0.25">
      <c r="A18" s="1"/>
      <c r="B18" s="152" t="s">
        <v>23</v>
      </c>
      <c r="C18" s="153"/>
      <c r="D18" s="154"/>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3" t="s">
        <v>236</v>
      </c>
      <c r="C22" s="144"/>
      <c r="D22" s="145"/>
      <c r="E22" s="9">
        <v>0</v>
      </c>
      <c r="F22" s="14" t="s">
        <v>3</v>
      </c>
      <c r="G22" s="1"/>
    </row>
    <row r="23" spans="1:7" x14ac:dyDescent="0.25">
      <c r="A23" s="1"/>
      <c r="B23" s="152" t="s">
        <v>10</v>
      </c>
      <c r="C23" s="153"/>
      <c r="D23" s="154"/>
      <c r="E23" s="9">
        <f>-E22*'Fane 5. Individuelt eff. krav'!G9</f>
        <v>0</v>
      </c>
      <c r="F23" s="14" t="s">
        <v>3</v>
      </c>
      <c r="G23" s="1"/>
    </row>
    <row r="24" spans="1:7" x14ac:dyDescent="0.25">
      <c r="A24" s="1"/>
      <c r="B24" s="152" t="s">
        <v>23</v>
      </c>
      <c r="C24" s="153"/>
      <c r="D24" s="154"/>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3" t="s">
        <v>236</v>
      </c>
      <c r="C28" s="144"/>
      <c r="D28" s="145"/>
      <c r="E28" s="9">
        <v>0</v>
      </c>
      <c r="F28" s="14" t="s">
        <v>3</v>
      </c>
      <c r="G28" s="1"/>
    </row>
    <row r="29" spans="1:7" x14ac:dyDescent="0.25">
      <c r="A29" s="1"/>
      <c r="B29" s="152" t="s">
        <v>10</v>
      </c>
      <c r="C29" s="153"/>
      <c r="D29" s="154"/>
      <c r="E29" s="9">
        <f>-E28*'Fane 5. Individuelt eff. krav'!G9</f>
        <v>0</v>
      </c>
      <c r="F29" s="14" t="s">
        <v>3</v>
      </c>
      <c r="G29" s="1"/>
    </row>
    <row r="30" spans="1:7" x14ac:dyDescent="0.25">
      <c r="A30" s="1"/>
      <c r="B30" s="152" t="s">
        <v>23</v>
      </c>
      <c r="C30" s="153"/>
      <c r="D30" s="154"/>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Oh4Yw9upKW3FhroWQzicJ76DiWqwjVcl8icVJ1fOggo/9qEk6eb7LBv7X2Y2ZGHoGd5veX7EpdgzS8LsdmWBA==" saltValue="gG+rDsSJLxQ0DF8Jds/xb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0"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Zjns+15v1ATxrS0cKbFuxxAuqH5tHVlkACMRxXmVbZK+9Gh65XJrrq2AqlYQcwHg+/pCtIcvcEuw1R8enznA==" saltValue="gLZSm2IzQ6fYfRmUUnSPP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6" t="s">
        <v>11</v>
      </c>
      <c r="D10" s="148"/>
      <c r="E10" s="146" t="s">
        <v>28</v>
      </c>
      <c r="F10" s="148"/>
      <c r="G10" s="1"/>
    </row>
    <row r="11" spans="1:7" x14ac:dyDescent="0.25">
      <c r="A11" s="1"/>
      <c r="B11" s="70"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1"/>
      <c r="C15" s="151"/>
      <c r="D15" s="151"/>
      <c r="E15" s="151"/>
      <c r="F15" s="151"/>
      <c r="G15" s="1"/>
    </row>
    <row r="16" spans="1:7" x14ac:dyDescent="0.25">
      <c r="A16" s="1"/>
      <c r="B16" s="52"/>
      <c r="C16" s="52"/>
      <c r="D16" s="52"/>
      <c r="E16" s="52"/>
      <c r="F16" s="52"/>
      <c r="G16" s="1"/>
    </row>
    <row r="17" spans="1:7" x14ac:dyDescent="0.25">
      <c r="A17" s="1"/>
      <c r="B17" s="53"/>
      <c r="C17" s="56"/>
      <c r="D17" s="55"/>
      <c r="E17" s="56"/>
      <c r="F17" s="55"/>
      <c r="G17" s="1"/>
    </row>
    <row r="18" spans="1:7" x14ac:dyDescent="0.25">
      <c r="A18" s="1"/>
      <c r="B18" s="57"/>
      <c r="C18" s="58"/>
      <c r="D18" s="59"/>
      <c r="E18" s="58"/>
      <c r="F18" s="59"/>
      <c r="G18" s="1"/>
    </row>
    <row r="19" spans="1:7" x14ac:dyDescent="0.25">
      <c r="A19" s="1"/>
      <c r="B19" s="57"/>
      <c r="C19" s="58"/>
      <c r="D19" s="59"/>
      <c r="E19" s="58"/>
      <c r="F19" s="59"/>
      <c r="G19" s="1"/>
    </row>
    <row r="20" spans="1:7" x14ac:dyDescent="0.25">
      <c r="A20" s="1"/>
      <c r="B20" s="50"/>
      <c r="C20" s="50"/>
      <c r="D20" s="50"/>
      <c r="E20" s="50"/>
      <c r="F20" s="50"/>
      <c r="G20" s="1"/>
    </row>
    <row r="21" spans="1:7" x14ac:dyDescent="0.25">
      <c r="A21" s="1"/>
      <c r="B21" s="151"/>
      <c r="C21" s="151"/>
      <c r="D21" s="151"/>
      <c r="E21" s="151"/>
      <c r="F21" s="151"/>
      <c r="G21" s="1"/>
    </row>
    <row r="22" spans="1:7" x14ac:dyDescent="0.25">
      <c r="A22" s="1"/>
      <c r="B22" s="52"/>
      <c r="C22" s="52"/>
      <c r="D22" s="52"/>
      <c r="E22" s="52"/>
      <c r="F22" s="52"/>
      <c r="G22" s="1"/>
    </row>
    <row r="23" spans="1:7" x14ac:dyDescent="0.25">
      <c r="A23" s="1"/>
      <c r="B23" s="53"/>
      <c r="C23" s="56"/>
      <c r="D23" s="55"/>
      <c r="E23" s="56"/>
      <c r="F23" s="55"/>
      <c r="G23" s="1"/>
    </row>
    <row r="24" spans="1:7" x14ac:dyDescent="0.25">
      <c r="A24" s="1"/>
      <c r="B24" s="57"/>
      <c r="C24" s="58"/>
      <c r="D24" s="59"/>
      <c r="E24" s="58"/>
      <c r="F24" s="59"/>
      <c r="G24" s="1"/>
    </row>
    <row r="25" spans="1:7" x14ac:dyDescent="0.25">
      <c r="A25" s="1"/>
      <c r="B25" s="57"/>
      <c r="C25" s="58"/>
      <c r="D25" s="59"/>
      <c r="E25" s="58"/>
      <c r="F25" s="59"/>
      <c r="G25" s="1"/>
    </row>
    <row r="26" spans="1:7" x14ac:dyDescent="0.25">
      <c r="A26" s="1"/>
      <c r="B26" s="50"/>
      <c r="C26" s="50"/>
      <c r="D26" s="50"/>
      <c r="E26" s="50"/>
      <c r="F26" s="50"/>
      <c r="G26" s="1"/>
    </row>
    <row r="27" spans="1:7" x14ac:dyDescent="0.25">
      <c r="A27" s="1"/>
      <c r="B27" s="151"/>
      <c r="C27" s="151"/>
      <c r="D27" s="151"/>
      <c r="E27" s="151"/>
      <c r="F27" s="151"/>
      <c r="G27" s="1"/>
    </row>
    <row r="28" spans="1:7" x14ac:dyDescent="0.25">
      <c r="A28" s="1"/>
      <c r="B28" s="52"/>
      <c r="C28" s="52"/>
      <c r="D28" s="52"/>
      <c r="E28" s="52"/>
      <c r="F28" s="52"/>
      <c r="G28" s="1"/>
    </row>
    <row r="29" spans="1:7" x14ac:dyDescent="0.25">
      <c r="A29" s="1"/>
      <c r="B29" s="53"/>
      <c r="C29" s="56"/>
      <c r="D29" s="55"/>
      <c r="E29" s="56"/>
      <c r="F29" s="55"/>
      <c r="G29" s="1"/>
    </row>
    <row r="30" spans="1:7" x14ac:dyDescent="0.25">
      <c r="A30" s="1"/>
      <c r="B30" s="57"/>
      <c r="C30" s="58"/>
      <c r="D30" s="59"/>
      <c r="E30" s="58"/>
      <c r="F30" s="59"/>
      <c r="G30" s="1"/>
    </row>
    <row r="31" spans="1:7" x14ac:dyDescent="0.25">
      <c r="A31" s="1"/>
      <c r="B31" s="57"/>
      <c r="C31" s="58"/>
      <c r="D31" s="59"/>
      <c r="E31" s="58"/>
      <c r="F31" s="5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9LGKBAJ1IRztB/baPrfjENEMUMpDFgR7rDDlpQ5fFxLml6Jb1D7xOnO69EGYweKGJJcUC9VNVvO+TwBKxKrgw==" saltValue="hryJbaWC3KhpKB0wxi3D7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201</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64412175.378353082</v>
      </c>
      <c r="D9" s="8" t="s">
        <v>3</v>
      </c>
      <c r="E9" s="1"/>
    </row>
    <row r="10" spans="1:5" ht="17.25" customHeight="1" x14ac:dyDescent="0.25">
      <c r="A10" s="1"/>
      <c r="B10" s="90" t="s">
        <v>36</v>
      </c>
      <c r="C10" s="7">
        <f>'Fane 11.1. Varige tillæg'!C20</f>
        <v>499234.48959999997</v>
      </c>
      <c r="D10" s="8" t="s">
        <v>3</v>
      </c>
      <c r="E10" s="1"/>
    </row>
    <row r="11" spans="1:5" ht="17.25" customHeight="1" x14ac:dyDescent="0.25">
      <c r="A11" s="1"/>
      <c r="B11" s="90" t="s">
        <v>37</v>
      </c>
      <c r="C11" s="9">
        <f>'Fane 11.1. Varige tillæg'!E20</f>
        <v>51040.542223999997</v>
      </c>
      <c r="D11" s="8" t="s">
        <v>3</v>
      </c>
      <c r="E11" s="1"/>
    </row>
    <row r="12" spans="1:5" ht="17.25" customHeight="1" x14ac:dyDescent="0.25">
      <c r="A12" s="1"/>
      <c r="B12" s="90" t="s">
        <v>26</v>
      </c>
      <c r="C12" s="9">
        <f>-'Fane 14. Bortfald'!C13</f>
        <v>0</v>
      </c>
      <c r="D12" s="8" t="s">
        <v>3</v>
      </c>
      <c r="E12" s="1"/>
    </row>
    <row r="13" spans="1:5" ht="17.25" customHeight="1" x14ac:dyDescent="0.25">
      <c r="A13" s="1"/>
      <c r="B13" s="90" t="s">
        <v>25</v>
      </c>
      <c r="C13" s="9">
        <f>-'Fane 14. Bortfald'!E13</f>
        <v>0</v>
      </c>
      <c r="D13" s="8" t="s">
        <v>3</v>
      </c>
      <c r="E13" s="1"/>
    </row>
    <row r="14" spans="1:5" ht="17.25" customHeight="1" x14ac:dyDescent="0.25">
      <c r="A14" s="1"/>
      <c r="B14" s="90" t="s">
        <v>105</v>
      </c>
      <c r="C14" s="9">
        <f>'Fane 13. Tilknyttet virksomhed'!C14</f>
        <v>0</v>
      </c>
      <c r="D14" s="8" t="s">
        <v>3</v>
      </c>
      <c r="E14" s="1"/>
    </row>
    <row r="15" spans="1:5" ht="17.25" customHeight="1" x14ac:dyDescent="0.25">
      <c r="A15" s="1"/>
      <c r="B15" s="90" t="s">
        <v>106</v>
      </c>
      <c r="C15" s="9">
        <f>'Fane 13. Tilknyttet virksomhed'!E14</f>
        <v>0</v>
      </c>
      <c r="D15" s="8" t="s">
        <v>3</v>
      </c>
      <c r="E15" s="1"/>
    </row>
    <row r="16" spans="1:5" ht="17.25" customHeight="1" x14ac:dyDescent="0.25">
      <c r="A16" s="1"/>
      <c r="B16" s="90" t="s">
        <v>19</v>
      </c>
      <c r="C16" s="41">
        <f>SUM(C9)*'Fane 15. Nøgletal'!C16+SUM(C10:C15)*'Fane 15. Nøgletal'!C16</f>
        <v>5248965.9931423087</v>
      </c>
      <c r="D16" s="8" t="s">
        <v>3</v>
      </c>
      <c r="E16" s="1"/>
    </row>
    <row r="17" spans="1:5" ht="17.25" customHeight="1" x14ac:dyDescent="0.25">
      <c r="A17" s="1"/>
      <c r="B17" s="90" t="s">
        <v>10</v>
      </c>
      <c r="C17" s="41">
        <f>-SUM(C9,C10:C16)*'Fane 5. Individuelt eff. krav'!G9</f>
        <v>0</v>
      </c>
      <c r="D17" s="8" t="s">
        <v>3</v>
      </c>
      <c r="E17" s="1"/>
    </row>
    <row r="18" spans="1:5" ht="17.25" customHeight="1" x14ac:dyDescent="0.25">
      <c r="A18" s="1"/>
      <c r="B18" s="90" t="s">
        <v>23</v>
      </c>
      <c r="C18" s="41">
        <f>-'Fane 4.1. Gen. krav - drift'!G54</f>
        <v>-589549.1891680744</v>
      </c>
      <c r="D18" s="8" t="s">
        <v>3</v>
      </c>
      <c r="E18" s="1"/>
    </row>
    <row r="19" spans="1:5" ht="17.25" customHeight="1" x14ac:dyDescent="0.25">
      <c r="A19" s="1"/>
      <c r="B19" s="90" t="s">
        <v>24</v>
      </c>
      <c r="C19" s="41">
        <f>-'Fane 4.2. Gen. krav - anlæg'!G55</f>
        <v>0</v>
      </c>
      <c r="D19" s="8" t="s">
        <v>3</v>
      </c>
      <c r="E19" s="46"/>
    </row>
    <row r="20" spans="1:5" ht="17.25" customHeight="1" x14ac:dyDescent="0.25">
      <c r="A20" s="1"/>
      <c r="B20" s="84" t="s">
        <v>21</v>
      </c>
      <c r="C20" s="10">
        <f>SUM(C9:C19)</f>
        <v>69621867.214151308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7128361.6639835006</v>
      </c>
      <c r="D22" s="11" t="s">
        <v>3</v>
      </c>
      <c r="E22" s="1"/>
    </row>
    <row r="23" spans="1:5" ht="15" customHeight="1" x14ac:dyDescent="0.25">
      <c r="A23" s="1"/>
      <c r="B23" s="33" t="s">
        <v>74</v>
      </c>
      <c r="C23" s="28"/>
      <c r="D23" s="19"/>
      <c r="E23" s="1"/>
    </row>
    <row r="24" spans="1:5" ht="15" customHeight="1" x14ac:dyDescent="0.25">
      <c r="A24" s="1"/>
      <c r="B24" s="84"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90" t="s">
        <v>158</v>
      </c>
      <c r="C26" s="73">
        <f>'Fane 11.2. Engangstillæg'!C14</f>
        <v>0</v>
      </c>
      <c r="D26" s="8" t="s">
        <v>3</v>
      </c>
      <c r="E26" s="1"/>
    </row>
    <row r="27" spans="1:5" ht="15" customHeight="1" x14ac:dyDescent="0.25">
      <c r="A27" s="1"/>
      <c r="B27" s="90" t="s">
        <v>70</v>
      </c>
      <c r="C27" s="73">
        <f>'Fane 11.2. Engangstillæg'!E14</f>
        <v>0</v>
      </c>
      <c r="D27" s="8" t="s">
        <v>3</v>
      </c>
      <c r="E27" s="1"/>
    </row>
    <row r="28" spans="1:5" ht="15" customHeight="1" x14ac:dyDescent="0.25">
      <c r="A28" s="1"/>
      <c r="B28" s="90" t="s">
        <v>161</v>
      </c>
      <c r="C28" s="73">
        <f>-C26*('Fane 15. Nøgletal'!C33+'Fane 5. Individuelt eff. krav'!G9)</f>
        <v>0</v>
      </c>
      <c r="D28" s="8" t="s">
        <v>3</v>
      </c>
      <c r="E28" s="1"/>
    </row>
    <row r="29" spans="1:5" ht="15" customHeight="1" x14ac:dyDescent="0.25">
      <c r="A29" s="1"/>
      <c r="B29" s="90" t="s">
        <v>162</v>
      </c>
      <c r="C29" s="73">
        <f>-C27*('Fane 15. Nøgletal'!C28+'Fane 5. Individuelt eff. krav'!G9)</f>
        <v>0</v>
      </c>
      <c r="D29" s="8" t="s">
        <v>3</v>
      </c>
      <c r="E29" s="1"/>
    </row>
    <row r="30" spans="1:5" ht="15" customHeight="1" x14ac:dyDescent="0.25">
      <c r="A30" s="1"/>
      <c r="B30" s="69"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-365402</v>
      </c>
      <c r="D34" s="11" t="s">
        <v>3</v>
      </c>
      <c r="E34" s="1"/>
    </row>
    <row r="35" spans="1:5" x14ac:dyDescent="0.25">
      <c r="A35" s="1"/>
      <c r="B35" s="30" t="s">
        <v>135</v>
      </c>
      <c r="C35" s="28"/>
      <c r="D35" s="19"/>
      <c r="E35" s="1"/>
    </row>
    <row r="36" spans="1:5" x14ac:dyDescent="0.25">
      <c r="A36" s="1"/>
      <c r="B36" s="69" t="s">
        <v>136</v>
      </c>
      <c r="C36" s="10">
        <f>'Fane 8. Skattesagen'!G13</f>
        <v>0</v>
      </c>
      <c r="D36" s="11" t="s">
        <v>3</v>
      </c>
      <c r="E36" s="1"/>
    </row>
    <row r="37" spans="1:5" x14ac:dyDescent="0.25">
      <c r="A37" s="1"/>
      <c r="B37" s="30" t="s">
        <v>293</v>
      </c>
      <c r="C37" s="28"/>
      <c r="D37" s="19"/>
      <c r="E37" s="1"/>
    </row>
    <row r="38" spans="1:5" x14ac:dyDescent="0.25">
      <c r="A38" s="1"/>
      <c r="B38" s="69" t="s">
        <v>294</v>
      </c>
      <c r="C38" s="10">
        <v>3594690.5625864314</v>
      </c>
      <c r="D38" s="11" t="s">
        <v>3</v>
      </c>
      <c r="E38" s="1"/>
    </row>
    <row r="39" spans="1:5" x14ac:dyDescent="0.25">
      <c r="A39" s="1"/>
      <c r="B39" s="33" t="s">
        <v>108</v>
      </c>
      <c r="C39" s="48">
        <f>SUM(C34,C32,C24,C30,C22,C20,C36,C38)</f>
        <v>79979517.440721229</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FeQlKsGpzXS/P46YhhzcmZQoDFStGoCsSl1pUJFA0KRVo+P3EmC+Uy0v+/QBI0AJ6RC6rgocAQohcz0U59Vhw==" saltValue="h7aMUgmhy+eSt0UjaH+UM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3" t="s">
        <v>94</v>
      </c>
      <c r="C9" s="25">
        <v>1.2699999999999999E-2</v>
      </c>
      <c r="D9" s="1"/>
    </row>
    <row r="10" spans="1:4" x14ac:dyDescent="0.25">
      <c r="A10" s="1"/>
      <c r="B10" s="83" t="s">
        <v>95</v>
      </c>
      <c r="C10" s="25">
        <v>1.7500000000000002E-2</v>
      </c>
      <c r="D10" s="1"/>
    </row>
    <row r="11" spans="1:4" x14ac:dyDescent="0.25">
      <c r="A11" s="1"/>
      <c r="B11" s="83"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3" t="s">
        <v>133</v>
      </c>
      <c r="C14" s="39">
        <v>3.3E-3</v>
      </c>
      <c r="D14" s="1"/>
    </row>
    <row r="15" spans="1:4" x14ac:dyDescent="0.25">
      <c r="A15" s="1"/>
      <c r="B15" s="34" t="s">
        <v>152</v>
      </c>
      <c r="C15" s="35">
        <v>3.56E-2</v>
      </c>
      <c r="D15" s="1"/>
    </row>
    <row r="16" spans="1:4" x14ac:dyDescent="0.25">
      <c r="A16" s="1"/>
      <c r="B16" s="64" t="s">
        <v>190</v>
      </c>
      <c r="C16" s="67">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3" t="s">
        <v>96</v>
      </c>
      <c r="C21" s="22">
        <v>9.1000000000000004E-3</v>
      </c>
      <c r="D21" s="1"/>
    </row>
    <row r="22" spans="1:4" x14ac:dyDescent="0.25">
      <c r="A22" s="1"/>
      <c r="B22" s="83" t="s">
        <v>118</v>
      </c>
      <c r="C22" s="22">
        <v>1.77E-2</v>
      </c>
      <c r="D22" s="1"/>
    </row>
    <row r="23" spans="1:4" x14ac:dyDescent="0.25">
      <c r="A23" s="1"/>
      <c r="B23" s="83" t="s">
        <v>119</v>
      </c>
      <c r="C23" s="22">
        <v>8.6999999999999994E-3</v>
      </c>
      <c r="D23" s="1"/>
    </row>
    <row r="24" spans="1:4" x14ac:dyDescent="0.25">
      <c r="A24" s="1"/>
      <c r="B24" s="83" t="s">
        <v>97</v>
      </c>
      <c r="C24" s="36">
        <v>2.8400000000000002E-2</v>
      </c>
      <c r="D24" s="1"/>
    </row>
    <row r="25" spans="1:4" x14ac:dyDescent="0.25">
      <c r="A25" s="1"/>
      <c r="B25" s="83" t="s">
        <v>120</v>
      </c>
      <c r="C25" s="36">
        <v>2.75E-2</v>
      </c>
      <c r="D25" s="1"/>
    </row>
    <row r="26" spans="1:4" x14ac:dyDescent="0.25">
      <c r="A26" s="1"/>
      <c r="B26" s="83" t="s">
        <v>121</v>
      </c>
      <c r="C26" s="36">
        <v>1.4800000000000001E-2</v>
      </c>
      <c r="D26" s="1"/>
    </row>
    <row r="27" spans="1:4" x14ac:dyDescent="0.25">
      <c r="A27" s="1"/>
      <c r="B27" s="34" t="s">
        <v>147</v>
      </c>
      <c r="C27" s="63">
        <v>0</v>
      </c>
      <c r="D27" s="1"/>
    </row>
    <row r="28" spans="1:4" x14ac:dyDescent="0.25">
      <c r="A28" s="1"/>
      <c r="B28" s="64" t="s">
        <v>191</v>
      </c>
      <c r="C28" s="66">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3"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7"/>
      <c r="B50" s="47"/>
      <c r="C50" s="47"/>
      <c r="D50" s="47"/>
    </row>
    <row r="51" spans="1:4" x14ac:dyDescent="0.25">
      <c r="A51" s="47"/>
      <c r="B51" s="47"/>
      <c r="C51" s="47"/>
      <c r="D51" s="47"/>
    </row>
    <row r="52" spans="1:4" x14ac:dyDescent="0.25">
      <c r="A52" s="47"/>
      <c r="B52" s="47"/>
      <c r="C52" s="47"/>
      <c r="D52" s="47"/>
    </row>
    <row r="53" spans="1:4" x14ac:dyDescent="0.25">
      <c r="A53" s="47"/>
      <c r="B53" s="47"/>
      <c r="C53" s="47"/>
      <c r="D53" s="47"/>
    </row>
  </sheetData>
  <sheetProtection algorithmName="SHA-512" hashValue="kX2TTLGveUw+XhWkKJhLoYvoARaUzxZzzDuGFmXwzRyDxf7PfThIB7g0eEBb+Ez6hYe7DDluW1d/hS+yxPS6mw==" saltValue="7lEcxn1mZneQOF4iORXEO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202</v>
      </c>
      <c r="C3" s="112"/>
      <c r="D3" s="112"/>
      <c r="E3" s="1"/>
    </row>
    <row r="4" spans="1:5" ht="15" customHeight="1" x14ac:dyDescent="0.25">
      <c r="A4" s="1"/>
      <c r="B4" s="112"/>
      <c r="C4" s="112"/>
      <c r="D4" s="112"/>
      <c r="E4" s="1"/>
    </row>
    <row r="5" spans="1:5" x14ac:dyDescent="0.25">
      <c r="A5" s="1"/>
      <c r="B5" s="113"/>
      <c r="C5" s="113"/>
      <c r="D5" s="113"/>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69621867.214151308</v>
      </c>
      <c r="D9" s="8" t="s">
        <v>3</v>
      </c>
      <c r="E9" s="1"/>
    </row>
    <row r="10" spans="1:5" ht="15" customHeight="1" x14ac:dyDescent="0.25">
      <c r="A10" s="1"/>
      <c r="B10" s="26" t="s">
        <v>19</v>
      </c>
      <c r="C10" s="7">
        <f>SUM(C9:C9)*'Fane 15. Nøgletal'!C16</f>
        <v>5625446.8709034258</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-624441.06837979786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74622873.016674936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7567244.3704333669</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69" t="s">
        <v>136</v>
      </c>
      <c r="C22" s="10">
        <f>'Fane 8. Skattesagen'!G14</f>
        <v>0</v>
      </c>
      <c r="D22" s="11" t="s">
        <v>3</v>
      </c>
      <c r="E22" s="1"/>
    </row>
    <row r="23" spans="1:5" x14ac:dyDescent="0.25">
      <c r="A23" s="1"/>
      <c r="B23" s="33" t="s">
        <v>122</v>
      </c>
      <c r="C23" s="12">
        <f>SUM(C14,C16,C18,C20,C22)</f>
        <v>82190117.387108296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gIaEVqeStQLx+iAxtIl8vbolmIKoEak+5QSBp5i4uqIGUvzBt/VQeGHmtBboy9dtEwoHXxllGCu6u7UZgv4tA==" saltValue="VCu3OyN2eLjvfplpTtzKw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203</v>
      </c>
      <c r="C3" s="112"/>
      <c r="D3" s="112"/>
      <c r="E3" s="1"/>
    </row>
    <row r="4" spans="1:5" ht="15" customHeight="1" x14ac:dyDescent="0.25">
      <c r="A4" s="1"/>
      <c r="B4" s="112"/>
      <c r="C4" s="112"/>
      <c r="D4" s="112"/>
      <c r="E4" s="1"/>
    </row>
    <row r="5" spans="1:5" x14ac:dyDescent="0.25">
      <c r="A5" s="1"/>
      <c r="B5" s="113" t="s">
        <v>253</v>
      </c>
      <c r="C5" s="113"/>
      <c r="D5" s="113"/>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74622873.016674936</v>
      </c>
      <c r="D9" s="8" t="s">
        <v>3</v>
      </c>
      <c r="E9" s="1"/>
    </row>
    <row r="10" spans="1:5" ht="15" customHeight="1" x14ac:dyDescent="0.25">
      <c r="A10" s="1"/>
      <c r="B10" s="26" t="s">
        <v>19</v>
      </c>
      <c r="C10" s="7">
        <f>SUM(C9:C9)*'Fane 15. Nøgletal'!C16</f>
        <v>6029528.1397473346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-661397.98857078783</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79991003.167851478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7390537.799564383</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9" t="s">
        <v>136</v>
      </c>
      <c r="C22" s="10">
        <f>'Fane 8. Skattesagen'!G15</f>
        <v>0</v>
      </c>
      <c r="D22" s="11" t="s">
        <v>3</v>
      </c>
      <c r="E22" s="1"/>
    </row>
    <row r="23" spans="1:5" x14ac:dyDescent="0.25">
      <c r="A23" s="1"/>
      <c r="B23" s="33" t="s">
        <v>140</v>
      </c>
      <c r="C23" s="12">
        <f>SUM(C14,C16,C18,C20,C22)</f>
        <v>87381540.967415854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3FOtYDkuIbjQ3vg/Q4t1n+vH8rhO3Vafh1jvQ7uGkDga2jR99WzZfBxl8+0Qu5aYJP/yuopBSkemezp0yzz6w==" saltValue="ahC3acgFCVAGPzSn1uoLm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204</v>
      </c>
      <c r="C3" s="112"/>
      <c r="D3" s="112"/>
      <c r="E3" s="1"/>
      <c r="F3" s="1"/>
    </row>
    <row r="4" spans="1:6" ht="15" customHeight="1" x14ac:dyDescent="0.25">
      <c r="A4" s="1"/>
      <c r="B4" s="112"/>
      <c r="C4" s="112"/>
      <c r="D4" s="112"/>
      <c r="E4" s="1"/>
      <c r="F4" s="1"/>
    </row>
    <row r="5" spans="1:6" x14ac:dyDescent="0.25">
      <c r="A5" s="1"/>
      <c r="B5" s="113" t="s">
        <v>253</v>
      </c>
      <c r="C5" s="113"/>
      <c r="D5" s="113"/>
      <c r="E5" s="1"/>
      <c r="F5" s="1"/>
    </row>
    <row r="6" spans="1:6" x14ac:dyDescent="0.25">
      <c r="A6" s="1"/>
      <c r="B6" s="75"/>
      <c r="C6" s="75"/>
      <c r="D6" s="75"/>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79991003.167851478</v>
      </c>
      <c r="D9" s="8" t="s">
        <v>3</v>
      </c>
      <c r="E9" s="1"/>
      <c r="F9" s="1"/>
    </row>
    <row r="10" spans="1:6" ht="15" customHeight="1" x14ac:dyDescent="0.25">
      <c r="A10" s="1"/>
      <c r="B10" s="26" t="s">
        <v>19</v>
      </c>
      <c r="C10" s="7">
        <f>SUM(C9:C9)*'Fane 15. Nøgletal'!C16</f>
        <v>6463273.0559623996</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-700542.16712636128</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85753734.056687519</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7903209.2585691847</v>
      </c>
      <c r="D16" s="11" t="s">
        <v>3</v>
      </c>
      <c r="E16" s="1"/>
      <c r="F16" s="1"/>
    </row>
    <row r="17" spans="1:6" ht="15" customHeight="1" x14ac:dyDescent="0.25">
      <c r="A17" s="1"/>
      <c r="B17" s="33" t="s">
        <v>74</v>
      </c>
      <c r="C17" s="28"/>
      <c r="D17" s="19"/>
      <c r="E17" s="1"/>
      <c r="F17" s="1"/>
    </row>
    <row r="18" spans="1:6" ht="15" customHeight="1" x14ac:dyDescent="0.25">
      <c r="A18" s="1"/>
      <c r="B18" s="84"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9" t="s">
        <v>136</v>
      </c>
      <c r="C22" s="10">
        <f>'Fane 8. Skattesagen'!G16</f>
        <v>0</v>
      </c>
      <c r="D22" s="11" t="s">
        <v>3</v>
      </c>
      <c r="E22" s="1"/>
      <c r="F22" s="1"/>
    </row>
    <row r="23" spans="1:6" x14ac:dyDescent="0.25">
      <c r="A23" s="1"/>
      <c r="B23" s="33" t="s">
        <v>209</v>
      </c>
      <c r="C23" s="12">
        <f>SUM(C14,C16,C18,C20,C22)</f>
        <v>93656943.3152567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FF2cZjtpRTpF7usq0hGyhkeg9+Sb3OyRcypflPpPq4vcnk7RPx5ScgmkdlAST3m//kGEXdwcITZydu+8lf0YSg==" saltValue="hZqZaWwNcrCXHbjeZ5N3L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65460040.050760388</v>
      </c>
      <c r="D9" s="8" t="s">
        <v>3</v>
      </c>
      <c r="E9" s="1"/>
    </row>
    <row r="10" spans="1:5" x14ac:dyDescent="0.25">
      <c r="A10" s="1"/>
      <c r="B10" s="90" t="s">
        <v>36</v>
      </c>
      <c r="C10" s="7">
        <v>0</v>
      </c>
      <c r="D10" s="8" t="s">
        <v>3</v>
      </c>
      <c r="E10" s="1"/>
    </row>
    <row r="11" spans="1:5" x14ac:dyDescent="0.25">
      <c r="A11" s="1"/>
      <c r="B11" s="90" t="s">
        <v>37</v>
      </c>
      <c r="C11" s="9">
        <v>19292.1924</v>
      </c>
      <c r="D11" s="8" t="s">
        <v>3</v>
      </c>
      <c r="E11" s="1"/>
    </row>
    <row r="12" spans="1:5" x14ac:dyDescent="0.25">
      <c r="A12" s="1"/>
      <c r="B12" s="90" t="s">
        <v>26</v>
      </c>
      <c r="C12" s="9">
        <v>0</v>
      </c>
      <c r="D12" s="8" t="s">
        <v>3</v>
      </c>
      <c r="E12" s="1"/>
    </row>
    <row r="13" spans="1:5" x14ac:dyDescent="0.25">
      <c r="A13" s="1"/>
      <c r="B13" s="90" t="s">
        <v>25</v>
      </c>
      <c r="C13" s="9">
        <v>0</v>
      </c>
      <c r="D13" s="8" t="s">
        <v>3</v>
      </c>
      <c r="E13" s="1"/>
    </row>
    <row r="14" spans="1:5" x14ac:dyDescent="0.25">
      <c r="A14" s="1"/>
      <c r="B14" s="90" t="s">
        <v>105</v>
      </c>
      <c r="C14" s="9">
        <v>0</v>
      </c>
      <c r="D14" s="8" t="s">
        <v>3</v>
      </c>
      <c r="E14" s="1"/>
    </row>
    <row r="15" spans="1:5" x14ac:dyDescent="0.25">
      <c r="A15" s="1"/>
      <c r="B15" s="90" t="s">
        <v>106</v>
      </c>
      <c r="C15" s="9">
        <v>0</v>
      </c>
      <c r="D15" s="8" t="s">
        <v>3</v>
      </c>
      <c r="E15" s="1"/>
    </row>
    <row r="16" spans="1:5" x14ac:dyDescent="0.25">
      <c r="A16" s="1"/>
      <c r="B16" s="90" t="s">
        <v>19</v>
      </c>
      <c r="C16" s="41">
        <v>216704.9342169493</v>
      </c>
      <c r="D16" s="8" t="s">
        <v>3</v>
      </c>
      <c r="E16" s="1"/>
    </row>
    <row r="17" spans="1:5" x14ac:dyDescent="0.25">
      <c r="A17" s="1"/>
      <c r="B17" s="90" t="s">
        <v>10</v>
      </c>
      <c r="C17" s="41">
        <v>-157194.8879542689</v>
      </c>
      <c r="D17" s="8" t="s">
        <v>3</v>
      </c>
      <c r="E17" s="1"/>
    </row>
    <row r="18" spans="1:5" x14ac:dyDescent="0.25">
      <c r="A18" s="1"/>
      <c r="B18" s="90" t="s">
        <v>23</v>
      </c>
      <c r="C18" s="41">
        <v>-546418.50371689978</v>
      </c>
      <c r="D18" s="8" t="s">
        <v>3</v>
      </c>
      <c r="E18" s="1"/>
    </row>
    <row r="19" spans="1:5" x14ac:dyDescent="0.25">
      <c r="A19" s="1"/>
      <c r="B19" s="90" t="s">
        <v>24</v>
      </c>
      <c r="C19" s="41">
        <v>-580248.40735307848</v>
      </c>
      <c r="D19" s="8" t="s">
        <v>3</v>
      </c>
      <c r="E19" s="46"/>
    </row>
    <row r="20" spans="1:5" x14ac:dyDescent="0.25">
      <c r="A20" s="1"/>
      <c r="B20" s="84" t="s">
        <v>21</v>
      </c>
      <c r="C20" s="10">
        <v>64412175.378353082</v>
      </c>
      <c r="D20" s="11" t="s">
        <v>3</v>
      </c>
      <c r="E20" s="1"/>
    </row>
    <row r="21" spans="1:5" x14ac:dyDescent="0.25">
      <c r="A21" s="1"/>
      <c r="B21" s="33" t="s">
        <v>12</v>
      </c>
      <c r="C21" s="28"/>
      <c r="D21" s="19"/>
      <c r="E21" s="1"/>
    </row>
    <row r="22" spans="1:5" x14ac:dyDescent="0.25">
      <c r="A22" s="1"/>
      <c r="B22" s="31" t="s">
        <v>12</v>
      </c>
      <c r="C22" s="10">
        <v>3541572.8759992095</v>
      </c>
      <c r="D22" s="11" t="s">
        <v>3</v>
      </c>
      <c r="E22" s="1"/>
    </row>
    <row r="23" spans="1:5" x14ac:dyDescent="0.25">
      <c r="A23" s="1"/>
      <c r="B23" s="33" t="s">
        <v>74</v>
      </c>
      <c r="C23" s="28"/>
      <c r="D23" s="19"/>
      <c r="E23" s="1"/>
    </row>
    <row r="24" spans="1:5" x14ac:dyDescent="0.25">
      <c r="A24" s="1"/>
      <c r="B24" s="84" t="s">
        <v>74</v>
      </c>
      <c r="C24" s="10">
        <v>0</v>
      </c>
      <c r="D24" s="11" t="s">
        <v>3</v>
      </c>
      <c r="E24" s="1"/>
    </row>
    <row r="25" spans="1:5" x14ac:dyDescent="0.25">
      <c r="A25" s="1"/>
      <c r="B25" s="44" t="s">
        <v>73</v>
      </c>
      <c r="C25" s="42"/>
      <c r="D25" s="43"/>
      <c r="E25" s="1"/>
    </row>
    <row r="26" spans="1:5" x14ac:dyDescent="0.25">
      <c r="A26" s="1"/>
      <c r="B26" s="90" t="s">
        <v>158</v>
      </c>
      <c r="C26" s="68">
        <v>0</v>
      </c>
      <c r="D26" s="8" t="s">
        <v>3</v>
      </c>
      <c r="E26" s="1"/>
    </row>
    <row r="27" spans="1:5" x14ac:dyDescent="0.25">
      <c r="A27" s="1"/>
      <c r="B27" s="90" t="s">
        <v>70</v>
      </c>
      <c r="C27" s="68">
        <v>0</v>
      </c>
      <c r="D27" s="8" t="s">
        <v>3</v>
      </c>
      <c r="E27" s="1"/>
    </row>
    <row r="28" spans="1:5" x14ac:dyDescent="0.25">
      <c r="A28" s="1"/>
      <c r="B28" s="90" t="s">
        <v>161</v>
      </c>
      <c r="C28" s="68">
        <v>0</v>
      </c>
      <c r="D28" s="8" t="s">
        <v>3</v>
      </c>
      <c r="E28" s="1"/>
    </row>
    <row r="29" spans="1:5" x14ac:dyDescent="0.25">
      <c r="A29" s="1"/>
      <c r="B29" s="90" t="s">
        <v>162</v>
      </c>
      <c r="C29" s="68">
        <v>0</v>
      </c>
      <c r="D29" s="8" t="s">
        <v>3</v>
      </c>
      <c r="E29" s="1"/>
    </row>
    <row r="30" spans="1:5" x14ac:dyDescent="0.25">
      <c r="A30" s="1"/>
      <c r="B30" s="69"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-365401.17999999993</v>
      </c>
      <c r="D34" s="11" t="s">
        <v>3</v>
      </c>
      <c r="E34" s="1"/>
    </row>
    <row r="35" spans="1:5" x14ac:dyDescent="0.25">
      <c r="A35" s="1"/>
      <c r="B35" s="30" t="s">
        <v>135</v>
      </c>
      <c r="C35" s="28"/>
      <c r="D35" s="19"/>
      <c r="E35" s="1"/>
    </row>
    <row r="36" spans="1:5" x14ac:dyDescent="0.25">
      <c r="A36" s="1"/>
      <c r="B36" s="69" t="s">
        <v>136</v>
      </c>
      <c r="C36" s="10">
        <v>0</v>
      </c>
      <c r="D36" s="11" t="s">
        <v>3</v>
      </c>
      <c r="E36" s="1"/>
    </row>
    <row r="37" spans="1:5" x14ac:dyDescent="0.25">
      <c r="A37" s="1"/>
      <c r="B37" s="33" t="s">
        <v>267</v>
      </c>
      <c r="C37" s="48">
        <v>67588347.074352294</v>
      </c>
      <c r="D37" s="30" t="s">
        <v>3</v>
      </c>
      <c r="E37" s="1"/>
    </row>
    <row r="38" spans="1:5" ht="30" customHeight="1" x14ac:dyDescent="0.25">
      <c r="A38" s="1"/>
      <c r="B38" s="115" t="s">
        <v>268</v>
      </c>
      <c r="C38" s="115"/>
      <c r="D38" s="115"/>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HaW5Hkmn9klCUYAiXUOd9U7oqA3/fdTckUKuO10u1F0s+3GiZXAWWkIoYuIbALWi4kN76tRHtblN9JFc73eU9A==" saltValue="aRCxI/JKGHcr7oXM54Own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6" t="s">
        <v>46</v>
      </c>
      <c r="C4" s="117"/>
      <c r="D4" s="117"/>
      <c r="E4" s="117"/>
      <c r="F4" s="117"/>
      <c r="G4" s="117"/>
      <c r="H4" s="118"/>
      <c r="I4" s="1"/>
    </row>
    <row r="5" spans="1:9" x14ac:dyDescent="0.25">
      <c r="A5" s="1"/>
      <c r="B5" s="119" t="s">
        <v>38</v>
      </c>
      <c r="C5" s="120"/>
      <c r="D5" s="120"/>
      <c r="E5" s="120"/>
      <c r="F5" s="121"/>
      <c r="G5" s="62">
        <v>28461884</v>
      </c>
      <c r="H5" s="14" t="s">
        <v>3</v>
      </c>
      <c r="I5" s="1"/>
    </row>
    <row r="6" spans="1:9" x14ac:dyDescent="0.25">
      <c r="A6" s="1"/>
      <c r="B6" s="128" t="s">
        <v>102</v>
      </c>
      <c r="C6" s="129"/>
      <c r="D6" s="129"/>
      <c r="E6" s="129"/>
      <c r="F6" s="130"/>
      <c r="G6" s="9">
        <v>0</v>
      </c>
      <c r="H6" s="14" t="s">
        <v>3</v>
      </c>
      <c r="I6" s="1"/>
    </row>
    <row r="7" spans="1:9" x14ac:dyDescent="0.25">
      <c r="A7" s="1"/>
      <c r="B7" s="119" t="s">
        <v>39</v>
      </c>
      <c r="C7" s="120"/>
      <c r="D7" s="120"/>
      <c r="E7" s="120"/>
      <c r="F7" s="121"/>
      <c r="G7" s="23">
        <f>SUM(G5:G6)*'Fane 15. Nøgletal'!C33</f>
        <v>569237.68000000005</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28380767.630600002</v>
      </c>
      <c r="H11" s="14" t="s">
        <v>3</v>
      </c>
      <c r="I11" s="1"/>
    </row>
    <row r="12" spans="1:9" ht="15" customHeight="1" x14ac:dyDescent="0.25">
      <c r="A12" s="1"/>
      <c r="B12" s="119" t="s">
        <v>103</v>
      </c>
      <c r="C12" s="120"/>
      <c r="D12" s="120"/>
      <c r="E12" s="120"/>
      <c r="F12" s="121"/>
      <c r="G12" s="65">
        <v>0.30732353514060379</v>
      </c>
      <c r="H12" s="14" t="s">
        <v>3</v>
      </c>
      <c r="I12" s="1"/>
    </row>
    <row r="13" spans="1:9" x14ac:dyDescent="0.25">
      <c r="A13" s="1"/>
      <c r="B13" s="128" t="s">
        <v>100</v>
      </c>
      <c r="C13" s="129"/>
      <c r="D13" s="129"/>
      <c r="E13" s="129"/>
      <c r="F13" s="130"/>
      <c r="G13" s="65">
        <v>0</v>
      </c>
      <c r="H13" s="14" t="s">
        <v>3</v>
      </c>
      <c r="I13" s="1"/>
    </row>
    <row r="14" spans="1:9" x14ac:dyDescent="0.25">
      <c r="A14" s="1"/>
      <c r="B14" s="125" t="s">
        <v>244</v>
      </c>
      <c r="C14" s="126"/>
      <c r="D14" s="126"/>
      <c r="E14" s="126"/>
      <c r="F14" s="127"/>
      <c r="G14" s="65">
        <v>0</v>
      </c>
      <c r="H14" s="14" t="s">
        <v>3</v>
      </c>
      <c r="I14" s="1"/>
    </row>
    <row r="15" spans="1:9" x14ac:dyDescent="0.25">
      <c r="A15" s="1"/>
      <c r="B15" s="119" t="s">
        <v>41</v>
      </c>
      <c r="C15" s="120"/>
      <c r="D15" s="120"/>
      <c r="E15" s="120"/>
      <c r="F15" s="121"/>
      <c r="G15" s="23">
        <f>SUM(G11:G14)*'Fane 15. Nøgletal'!C33</f>
        <v>567615.35875847074</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28299882.749300454</v>
      </c>
      <c r="H19" s="14" t="s">
        <v>3</v>
      </c>
      <c r="I19" s="1"/>
    </row>
    <row r="20" spans="1:9" x14ac:dyDescent="0.25">
      <c r="A20" s="1"/>
      <c r="B20" s="125" t="s">
        <v>245</v>
      </c>
      <c r="C20" s="126"/>
      <c r="D20" s="126"/>
      <c r="E20" s="126"/>
      <c r="F20" s="127"/>
      <c r="G20" s="9">
        <v>0</v>
      </c>
      <c r="H20" s="14" t="s">
        <v>3</v>
      </c>
      <c r="I20" s="1"/>
    </row>
    <row r="21" spans="1:9" x14ac:dyDescent="0.25">
      <c r="A21" s="1"/>
      <c r="B21" s="119" t="s">
        <v>43</v>
      </c>
      <c r="C21" s="120"/>
      <c r="D21" s="120"/>
      <c r="E21" s="120"/>
      <c r="F21" s="121"/>
      <c r="G21" s="23">
        <f>SUM(G19:G20)*'Fane 15. Nøgletal'!C33</f>
        <v>565997.65498600912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28280242.63067244</v>
      </c>
      <c r="H25" s="14" t="s">
        <v>3</v>
      </c>
      <c r="I25" s="1"/>
    </row>
    <row r="26" spans="1:9" x14ac:dyDescent="0.25">
      <c r="A26" s="1"/>
      <c r="B26" s="125" t="s">
        <v>246</v>
      </c>
      <c r="C26" s="126"/>
      <c r="D26" s="126"/>
      <c r="E26" s="126"/>
      <c r="F26" s="127"/>
      <c r="G26" s="9">
        <v>0</v>
      </c>
      <c r="H26" s="14" t="s">
        <v>3</v>
      </c>
      <c r="I26" s="1"/>
    </row>
    <row r="27" spans="1:9" x14ac:dyDescent="0.25">
      <c r="A27" s="1"/>
      <c r="B27" s="119" t="s">
        <v>45</v>
      </c>
      <c r="C27" s="120"/>
      <c r="D27" s="120"/>
      <c r="E27" s="120"/>
      <c r="F27" s="121"/>
      <c r="G27" s="23">
        <f>(G25+G26)*'Fane 15. Nøgletal'!C33</f>
        <v>565604.85261344886</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28260616.142286755</v>
      </c>
      <c r="H31" s="14" t="s">
        <v>3</v>
      </c>
      <c r="I31" s="1"/>
    </row>
    <row r="32" spans="1:9" x14ac:dyDescent="0.25">
      <c r="A32" s="1"/>
      <c r="B32" s="119" t="s">
        <v>243</v>
      </c>
      <c r="C32" s="120"/>
      <c r="D32" s="120"/>
      <c r="E32" s="120"/>
      <c r="F32" s="121"/>
      <c r="G32" s="71">
        <v>0</v>
      </c>
      <c r="H32" s="14" t="s">
        <v>3</v>
      </c>
      <c r="I32" s="1"/>
    </row>
    <row r="33" spans="1:9" x14ac:dyDescent="0.25">
      <c r="A33" s="1"/>
      <c r="B33" s="119" t="s">
        <v>54</v>
      </c>
      <c r="C33" s="120"/>
      <c r="D33" s="120"/>
      <c r="E33" s="120"/>
      <c r="F33" s="121"/>
      <c r="G33" s="23">
        <f>(G31+G32)*'Fane 15. Nøgletal'!C33</f>
        <v>565212.32284573512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27786798.652045179</v>
      </c>
      <c r="H37" s="14" t="s">
        <v>3</v>
      </c>
      <c r="I37" s="1"/>
    </row>
    <row r="38" spans="1:9" x14ac:dyDescent="0.25">
      <c r="A38" s="1"/>
      <c r="B38" s="119" t="s">
        <v>242</v>
      </c>
      <c r="C38" s="120"/>
      <c r="D38" s="120"/>
      <c r="E38" s="120"/>
      <c r="F38" s="121"/>
      <c r="G38" s="71">
        <v>0</v>
      </c>
      <c r="H38" s="14" t="s">
        <v>3</v>
      </c>
      <c r="I38" s="1"/>
    </row>
    <row r="39" spans="1:9" x14ac:dyDescent="0.25">
      <c r="A39" s="1"/>
      <c r="B39" s="119" t="s">
        <v>128</v>
      </c>
      <c r="C39" s="120"/>
      <c r="D39" s="120"/>
      <c r="E39" s="120"/>
      <c r="F39" s="121"/>
      <c r="G39" s="23">
        <f>(G37+G38)*'Fane 15. Nøgletal'!C33</f>
        <v>555735.97304090357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27320925.185844991</v>
      </c>
      <c r="H43" s="14" t="s">
        <v>3</v>
      </c>
      <c r="I43" s="1"/>
    </row>
    <row r="44" spans="1:9" x14ac:dyDescent="0.25">
      <c r="A44" s="1"/>
      <c r="B44" s="122" t="s">
        <v>157</v>
      </c>
      <c r="C44" s="123"/>
      <c r="D44" s="123"/>
      <c r="E44" s="123"/>
      <c r="F44" s="124"/>
      <c r="G44" s="72">
        <v>0</v>
      </c>
      <c r="H44" s="14" t="s">
        <v>3</v>
      </c>
      <c r="I44" s="1"/>
    </row>
    <row r="45" spans="1:9" x14ac:dyDescent="0.25">
      <c r="A45" s="1"/>
      <c r="B45" s="119" t="s">
        <v>129</v>
      </c>
      <c r="C45" s="120"/>
      <c r="D45" s="120"/>
      <c r="E45" s="120"/>
      <c r="F45" s="121"/>
      <c r="G45" s="23">
        <f>SUM(G43:G44)*'Fane 15. Nøgletal'!C33</f>
        <v>546418.50371689978</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5"/>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28937886.822044041</v>
      </c>
      <c r="H52" s="14" t="s">
        <v>3</v>
      </c>
      <c r="I52" s="1"/>
    </row>
    <row r="53" spans="1:9" x14ac:dyDescent="0.25">
      <c r="A53" s="1"/>
      <c r="B53" s="80" t="s">
        <v>194</v>
      </c>
      <c r="C53" s="81"/>
      <c r="D53" s="81"/>
      <c r="E53" s="81"/>
      <c r="F53" s="82"/>
      <c r="G53" s="23">
        <f>('Fane 2.1. Økonomisk ramme 2024'!C10+'Fane 2.1. Økonomisk ramme 2024'!C12+'Fane 2.1. Økonomisk ramme 2024'!C14)*(1+'Fane 15. Nøgletal'!C16)</f>
        <v>539572.63635967998</v>
      </c>
      <c r="H53" s="14" t="s">
        <v>3</v>
      </c>
      <c r="I53" s="1"/>
    </row>
    <row r="54" spans="1:9" x14ac:dyDescent="0.25">
      <c r="A54" s="1"/>
      <c r="B54" s="119" t="s">
        <v>210</v>
      </c>
      <c r="C54" s="120"/>
      <c r="D54" s="120"/>
      <c r="E54" s="120"/>
      <c r="F54" s="121"/>
      <c r="G54" s="23">
        <f>(G52)*'Fane 15. Nøgletal'!C33+(G53)*'Fane 15. Nøgletal'!C33</f>
        <v>589549.1891680744</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80" t="s">
        <v>212</v>
      </c>
      <c r="C58" s="81"/>
      <c r="D58" s="81"/>
      <c r="E58" s="81"/>
      <c r="F58" s="82"/>
      <c r="G58" s="23">
        <f>(G52+G53-G54)*(1+'Fane 15. Nøgletal'!C16)</f>
        <v>31222053.418989889</v>
      </c>
      <c r="H58" s="14" t="s">
        <v>3</v>
      </c>
      <c r="I58" s="1"/>
    </row>
    <row r="59" spans="1:9" x14ac:dyDescent="0.25">
      <c r="A59" s="1"/>
      <c r="B59" s="80" t="s">
        <v>211</v>
      </c>
      <c r="C59" s="81"/>
      <c r="D59" s="81"/>
      <c r="E59" s="81"/>
      <c r="F59" s="82"/>
      <c r="G59" s="23">
        <f>(G58)*'Fane 15. Nøgletal'!C33</f>
        <v>624441.06837979786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80" t="s">
        <v>213</v>
      </c>
      <c r="C63" s="81"/>
      <c r="D63" s="81"/>
      <c r="E63" s="81"/>
      <c r="F63" s="82"/>
      <c r="G63" s="23">
        <f>(G58-G59)*(1+'Fane 15. Nøgletal'!C16)</f>
        <v>33069899.428539388</v>
      </c>
      <c r="H63" s="14" t="s">
        <v>3</v>
      </c>
      <c r="I63" s="1"/>
    </row>
    <row r="64" spans="1:9" x14ac:dyDescent="0.25">
      <c r="A64" s="1"/>
      <c r="B64" s="80" t="s">
        <v>214</v>
      </c>
      <c r="C64" s="81"/>
      <c r="D64" s="81"/>
      <c r="E64" s="81"/>
      <c r="F64" s="82"/>
      <c r="G64" s="23">
        <f>(G63)*'Fane 15. Nøgletal'!C33</f>
        <v>661397.98857078783</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80" t="s">
        <v>213</v>
      </c>
      <c r="C68" s="81"/>
      <c r="D68" s="81"/>
      <c r="E68" s="81"/>
      <c r="F68" s="82"/>
      <c r="G68" s="23">
        <f>(G63-G64)*(1+'Fane 15. Nøgletal'!C16)</f>
        <v>35027108.356318064</v>
      </c>
      <c r="H68" s="14" t="s">
        <v>3</v>
      </c>
      <c r="I68" s="1"/>
    </row>
    <row r="69" spans="1:9" x14ac:dyDescent="0.25">
      <c r="A69" s="1"/>
      <c r="B69" s="80" t="s">
        <v>214</v>
      </c>
      <c r="C69" s="81"/>
      <c r="D69" s="81"/>
      <c r="E69" s="81"/>
      <c r="F69" s="82"/>
      <c r="G69" s="23">
        <f>(G68)*'Fane 15. Nøgletal'!C33</f>
        <v>700542.16712636128</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0"/>
      <c r="B74" s="60"/>
      <c r="C74" s="60"/>
      <c r="D74" s="60"/>
      <c r="E74" s="60"/>
      <c r="F74" s="60"/>
      <c r="G74" s="60"/>
      <c r="H74" s="60"/>
      <c r="I74" s="60"/>
    </row>
    <row r="75" spans="1:9" x14ac:dyDescent="0.25">
      <c r="A75" s="60"/>
      <c r="B75" s="60"/>
      <c r="C75" s="60"/>
      <c r="D75" s="60"/>
      <c r="E75" s="60"/>
      <c r="F75" s="60"/>
      <c r="G75" s="60"/>
      <c r="H75" s="60"/>
      <c r="I75" s="60"/>
    </row>
    <row r="76" spans="1:9" x14ac:dyDescent="0.25">
      <c r="A76" s="60"/>
      <c r="B76" s="60"/>
      <c r="C76" s="60"/>
      <c r="D76" s="60"/>
      <c r="E76" s="60"/>
      <c r="F76" s="60"/>
      <c r="G76" s="60"/>
      <c r="H76" s="60"/>
      <c r="I76" s="60"/>
    </row>
    <row r="77" spans="1:9" x14ac:dyDescent="0.25">
      <c r="A77" s="60"/>
      <c r="B77" s="60"/>
      <c r="C77" s="60"/>
      <c r="D77" s="60"/>
      <c r="E77" s="60"/>
      <c r="F77" s="60"/>
      <c r="G77" s="60"/>
      <c r="H77" s="60"/>
      <c r="I77" s="60"/>
    </row>
    <row r="78" spans="1:9" x14ac:dyDescent="0.25">
      <c r="A78" s="60"/>
      <c r="B78" s="60"/>
      <c r="C78" s="60"/>
      <c r="D78" s="60"/>
      <c r="E78" s="60"/>
      <c r="F78" s="60"/>
      <c r="G78" s="60"/>
      <c r="H78" s="60"/>
      <c r="I78" s="60"/>
    </row>
    <row r="79" spans="1:9" x14ac:dyDescent="0.25">
      <c r="A79" s="60"/>
      <c r="B79" s="60"/>
      <c r="C79" s="60"/>
      <c r="D79" s="60"/>
      <c r="E79" s="60"/>
      <c r="F79" s="60"/>
      <c r="G79" s="60"/>
      <c r="H79" s="60"/>
      <c r="I79" s="60"/>
    </row>
    <row r="80" spans="1:9" x14ac:dyDescent="0.25">
      <c r="A80" s="60"/>
      <c r="B80" s="60"/>
      <c r="C80" s="60"/>
      <c r="D80" s="60"/>
      <c r="E80" s="60"/>
      <c r="F80" s="60"/>
      <c r="G80" s="60"/>
      <c r="H80" s="60"/>
      <c r="I80" s="60"/>
    </row>
    <row r="81" spans="1:9" x14ac:dyDescent="0.25">
      <c r="A81" s="60"/>
      <c r="B81" s="60"/>
      <c r="C81" s="60"/>
      <c r="D81" s="60"/>
      <c r="E81" s="60"/>
      <c r="F81" s="60"/>
      <c r="G81" s="60"/>
      <c r="H81" s="60"/>
      <c r="I81" s="60"/>
    </row>
    <row r="82" spans="1:9" x14ac:dyDescent="0.25">
      <c r="A82" s="60"/>
      <c r="B82" s="60"/>
      <c r="C82" s="60"/>
      <c r="D82" s="60"/>
      <c r="E82" s="60"/>
      <c r="F82" s="60"/>
      <c r="G82" s="60"/>
      <c r="H82" s="60"/>
      <c r="I82" s="60"/>
    </row>
    <row r="83" spans="1:9" x14ac:dyDescent="0.25">
      <c r="A83" s="60"/>
      <c r="B83" s="60"/>
      <c r="C83" s="60"/>
      <c r="D83" s="60"/>
      <c r="E83" s="60"/>
      <c r="F83" s="60"/>
      <c r="G83" s="60"/>
      <c r="H83" s="60"/>
      <c r="I83" s="60"/>
    </row>
    <row r="84" spans="1:9" x14ac:dyDescent="0.25">
      <c r="A84" s="60"/>
      <c r="B84" s="60"/>
      <c r="C84" s="60"/>
      <c r="D84" s="60"/>
      <c r="E84" s="60"/>
      <c r="F84" s="60"/>
      <c r="G84" s="60"/>
      <c r="H84" s="60"/>
      <c r="I84" s="60"/>
    </row>
    <row r="85" spans="1:9" x14ac:dyDescent="0.25">
      <c r="A85" s="60"/>
      <c r="B85" s="60"/>
      <c r="C85" s="60"/>
      <c r="D85" s="60"/>
      <c r="E85" s="60"/>
      <c r="F85" s="60"/>
      <c r="G85" s="60"/>
      <c r="H85" s="60"/>
      <c r="I85" s="60"/>
    </row>
    <row r="86" spans="1:9" x14ac:dyDescent="0.25">
      <c r="A86" s="60"/>
      <c r="B86" s="60"/>
      <c r="C86" s="60"/>
      <c r="D86" s="60"/>
      <c r="E86" s="60"/>
      <c r="F86" s="60"/>
      <c r="G86" s="60"/>
      <c r="H86" s="60"/>
      <c r="I86" s="60"/>
    </row>
    <row r="87" spans="1:9" x14ac:dyDescent="0.25">
      <c r="A87" s="60"/>
      <c r="B87" s="60"/>
      <c r="C87" s="60"/>
      <c r="D87" s="60"/>
      <c r="E87" s="60"/>
      <c r="F87" s="60"/>
      <c r="G87" s="60"/>
      <c r="H87" s="60"/>
      <c r="I87" s="60"/>
    </row>
    <row r="88" spans="1:9" x14ac:dyDescent="0.25">
      <c r="A88" s="60"/>
      <c r="B88" s="60"/>
      <c r="C88" s="60"/>
      <c r="D88" s="60"/>
      <c r="E88" s="60"/>
      <c r="F88" s="60"/>
      <c r="G88" s="60"/>
      <c r="H88" s="60"/>
      <c r="I88" s="60"/>
    </row>
    <row r="89" spans="1:9" x14ac:dyDescent="0.25">
      <c r="A89" s="60"/>
      <c r="B89" s="60"/>
      <c r="C89" s="60"/>
      <c r="D89" s="60"/>
      <c r="E89" s="60"/>
      <c r="F89" s="60"/>
      <c r="G89" s="60"/>
      <c r="H89" s="60"/>
      <c r="I89" s="60"/>
    </row>
    <row r="90" spans="1:9" x14ac:dyDescent="0.25">
      <c r="A90" s="60"/>
      <c r="B90" s="60"/>
      <c r="C90" s="60"/>
      <c r="D90" s="60"/>
      <c r="E90" s="60"/>
      <c r="F90" s="60"/>
      <c r="G90" s="60"/>
      <c r="H90" s="60"/>
      <c r="I90" s="60"/>
    </row>
    <row r="91" spans="1:9" x14ac:dyDescent="0.25">
      <c r="A91" s="60"/>
      <c r="B91" s="60"/>
      <c r="C91" s="60"/>
      <c r="D91" s="60"/>
      <c r="E91" s="60"/>
      <c r="F91" s="60"/>
      <c r="G91" s="60"/>
      <c r="H91" s="60"/>
      <c r="I91" s="60"/>
    </row>
    <row r="92" spans="1:9" x14ac:dyDescent="0.25">
      <c r="A92" s="60"/>
      <c r="B92" s="60"/>
      <c r="C92" s="60"/>
      <c r="D92" s="60"/>
      <c r="E92" s="60"/>
      <c r="F92" s="60"/>
      <c r="G92" s="60"/>
      <c r="H92" s="60"/>
      <c r="I92" s="60"/>
    </row>
    <row r="93" spans="1:9" x14ac:dyDescent="0.25">
      <c r="A93" s="60"/>
      <c r="B93" s="60"/>
      <c r="C93" s="60"/>
      <c r="D93" s="60"/>
      <c r="E93" s="60"/>
      <c r="F93" s="60"/>
      <c r="G93" s="60"/>
      <c r="H93" s="60"/>
      <c r="I93" s="60"/>
    </row>
    <row r="94" spans="1:9" x14ac:dyDescent="0.25">
      <c r="A94" s="60"/>
      <c r="B94" s="60"/>
      <c r="C94" s="60"/>
      <c r="D94" s="60"/>
      <c r="E94" s="60"/>
      <c r="F94" s="60"/>
      <c r="G94" s="60"/>
      <c r="H94" s="60"/>
      <c r="I94" s="60"/>
    </row>
    <row r="95" spans="1:9" x14ac:dyDescent="0.25">
      <c r="A95" s="60"/>
      <c r="B95" s="60"/>
      <c r="C95" s="60"/>
      <c r="D95" s="60"/>
      <c r="E95" s="60"/>
      <c r="F95" s="60"/>
      <c r="G95" s="60"/>
      <c r="H95" s="60"/>
      <c r="I95" s="60"/>
    </row>
    <row r="96" spans="1:9" x14ac:dyDescent="0.25">
      <c r="A96" s="60"/>
      <c r="B96" s="60"/>
      <c r="C96" s="60"/>
      <c r="D96" s="60"/>
      <c r="E96" s="60"/>
      <c r="F96" s="60"/>
      <c r="G96" s="60"/>
      <c r="H96" s="60"/>
      <c r="I96" s="60"/>
    </row>
    <row r="97" spans="1:9" x14ac:dyDescent="0.25">
      <c r="A97" s="60"/>
      <c r="B97" s="60"/>
      <c r="C97" s="60"/>
      <c r="D97" s="60"/>
      <c r="E97" s="60"/>
      <c r="F97" s="60"/>
      <c r="G97" s="60"/>
      <c r="H97" s="60"/>
      <c r="I97" s="60"/>
    </row>
    <row r="98" spans="1:9" x14ac:dyDescent="0.25">
      <c r="A98" s="60"/>
      <c r="B98" s="60"/>
      <c r="C98" s="60"/>
      <c r="D98" s="60"/>
      <c r="E98" s="60"/>
      <c r="F98" s="60"/>
      <c r="G98" s="60"/>
      <c r="H98" s="60"/>
      <c r="I98" s="60"/>
    </row>
    <row r="99" spans="1:9" x14ac:dyDescent="0.25">
      <c r="A99" s="60"/>
      <c r="B99" s="60"/>
      <c r="C99" s="60"/>
      <c r="D99" s="60"/>
      <c r="E99" s="60"/>
      <c r="F99" s="60"/>
      <c r="G99" s="60"/>
      <c r="H99" s="60"/>
      <c r="I99" s="60"/>
    </row>
  </sheetData>
  <sheetProtection algorithmName="SHA-512" hashValue="QdV+M9RGa75WFXb2U4+UPIaan1s/aV80ESOtQNNGsYKwe5o0GJRXY1M4IL/lPzI3y5yTOX+SWNga5s1QGMRhSw==" saltValue="oPg9OtuuTOIEWqNuMPzx7A=="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1" t="s">
        <v>92</v>
      </c>
      <c r="C1" s="131"/>
      <c r="D1" s="131"/>
      <c r="E1" s="131"/>
      <c r="F1" s="131"/>
      <c r="G1" s="131"/>
      <c r="H1" s="131"/>
      <c r="I1" s="1"/>
    </row>
    <row r="2" spans="1:9" ht="15" customHeight="1" x14ac:dyDescent="0.25">
      <c r="A2" s="1"/>
      <c r="B2" s="131"/>
      <c r="C2" s="131"/>
      <c r="D2" s="131"/>
      <c r="E2" s="131"/>
      <c r="F2" s="131"/>
      <c r="G2" s="131"/>
      <c r="H2" s="131"/>
      <c r="I2" s="1"/>
    </row>
    <row r="3" spans="1:9" ht="15" customHeight="1" x14ac:dyDescent="0.25">
      <c r="A3" s="1"/>
      <c r="B3" s="132"/>
      <c r="C3" s="132"/>
      <c r="D3" s="132"/>
      <c r="E3" s="132"/>
      <c r="F3" s="132"/>
      <c r="G3" s="132"/>
      <c r="H3" s="132"/>
      <c r="I3" s="1"/>
    </row>
    <row r="4" spans="1:9" x14ac:dyDescent="0.25">
      <c r="A4" s="1"/>
      <c r="B4" s="116" t="s">
        <v>50</v>
      </c>
      <c r="C4" s="117"/>
      <c r="D4" s="117"/>
      <c r="E4" s="117"/>
      <c r="F4" s="117"/>
      <c r="G4" s="117"/>
      <c r="H4" s="118"/>
      <c r="I4" s="1"/>
    </row>
    <row r="5" spans="1:9" x14ac:dyDescent="0.25">
      <c r="A5" s="1"/>
      <c r="B5" s="119" t="s">
        <v>55</v>
      </c>
      <c r="C5" s="120"/>
      <c r="D5" s="120"/>
      <c r="E5" s="120"/>
      <c r="F5" s="121"/>
      <c r="G5" s="62">
        <v>40320566</v>
      </c>
      <c r="H5" s="14" t="s">
        <v>3</v>
      </c>
      <c r="I5" s="1"/>
    </row>
    <row r="6" spans="1:9" x14ac:dyDescent="0.25">
      <c r="A6" s="1"/>
      <c r="B6" s="119" t="s">
        <v>51</v>
      </c>
      <c r="C6" s="120"/>
      <c r="D6" s="120"/>
      <c r="E6" s="120"/>
      <c r="F6" s="121"/>
      <c r="G6" s="23">
        <f>G5*'Fane 15. Nøgletal'!C21</f>
        <v>366917.15059999999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40652837.704264499</v>
      </c>
      <c r="H10" s="14" t="s">
        <v>3</v>
      </c>
      <c r="I10" s="1"/>
    </row>
    <row r="11" spans="1:9" x14ac:dyDescent="0.25">
      <c r="A11" s="1"/>
      <c r="B11" s="119" t="s">
        <v>104</v>
      </c>
      <c r="C11" s="120"/>
      <c r="D11" s="120"/>
      <c r="E11" s="120"/>
      <c r="F11" s="121"/>
      <c r="G11" s="62">
        <v>182483.87760194053</v>
      </c>
      <c r="H11" s="14" t="s">
        <v>3</v>
      </c>
      <c r="I11" s="1"/>
    </row>
    <row r="12" spans="1:9" x14ac:dyDescent="0.25">
      <c r="A12" s="1"/>
      <c r="B12" s="125" t="s">
        <v>247</v>
      </c>
      <c r="C12" s="126"/>
      <c r="D12" s="126"/>
      <c r="E12" s="126"/>
      <c r="F12" s="127"/>
      <c r="G12" s="65">
        <v>0</v>
      </c>
      <c r="H12" s="14" t="s">
        <v>3</v>
      </c>
      <c r="I12" s="1"/>
    </row>
    <row r="13" spans="1:9" x14ac:dyDescent="0.25">
      <c r="A13" s="1"/>
      <c r="B13" s="119" t="s">
        <v>58</v>
      </c>
      <c r="C13" s="120"/>
      <c r="D13" s="120"/>
      <c r="E13" s="120"/>
      <c r="F13" s="121"/>
      <c r="G13" s="23">
        <f>SUM(G10:G12)*'Fane 15. Nøgletal'!C22</f>
        <v>722785.19199903612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40814505.776690096</v>
      </c>
      <c r="H17" s="14" t="s">
        <v>3</v>
      </c>
      <c r="I17" s="1"/>
    </row>
    <row r="18" spans="1:9" x14ac:dyDescent="0.25">
      <c r="A18" s="1"/>
      <c r="B18" s="125" t="s">
        <v>248</v>
      </c>
      <c r="C18" s="126"/>
      <c r="D18" s="126"/>
      <c r="E18" s="126"/>
      <c r="F18" s="127"/>
      <c r="G18" s="62">
        <v>29853.017475089993</v>
      </c>
      <c r="H18" s="14" t="s">
        <v>3</v>
      </c>
      <c r="I18" s="1"/>
    </row>
    <row r="19" spans="1:9" x14ac:dyDescent="0.25">
      <c r="A19" s="1"/>
      <c r="B19" s="119" t="s">
        <v>61</v>
      </c>
      <c r="C19" s="120"/>
      <c r="D19" s="120"/>
      <c r="E19" s="120"/>
      <c r="F19" s="121"/>
      <c r="G19" s="23">
        <f>G17*'Fane 15. Nøgletal'!C22+G18*'Fane 15. Nøgletal'!C23</f>
        <v>722676.47349944792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40912079.462382853</v>
      </c>
      <c r="H23" s="14" t="s">
        <v>3</v>
      </c>
      <c r="I23" s="1"/>
    </row>
    <row r="24" spans="1:9" x14ac:dyDescent="0.25">
      <c r="A24" s="1"/>
      <c r="B24" s="125" t="s">
        <v>249</v>
      </c>
      <c r="C24" s="126"/>
      <c r="D24" s="126"/>
      <c r="E24" s="126"/>
      <c r="F24" s="127"/>
      <c r="G24" s="62">
        <v>61327.741336290004</v>
      </c>
      <c r="H24" s="14" t="s">
        <v>3</v>
      </c>
      <c r="I24" s="1"/>
    </row>
    <row r="25" spans="1:9" x14ac:dyDescent="0.25">
      <c r="A25" s="1"/>
      <c r="B25" s="119" t="s">
        <v>64</v>
      </c>
      <c r="C25" s="120"/>
      <c r="D25" s="120"/>
      <c r="E25" s="120"/>
      <c r="F25" s="121"/>
      <c r="G25" s="23">
        <f>(G23+G24)*'Fane 15. Nøgletal'!C24</f>
        <v>1163644.7645856238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40594014.759184457</v>
      </c>
      <c r="H29" s="14" t="s">
        <v>3</v>
      </c>
      <c r="I29" s="1"/>
    </row>
    <row r="30" spans="1:9" x14ac:dyDescent="0.25">
      <c r="A30" s="1"/>
      <c r="B30" s="119" t="s">
        <v>250</v>
      </c>
      <c r="C30" s="120"/>
      <c r="D30" s="120"/>
      <c r="E30" s="120"/>
      <c r="F30" s="121"/>
      <c r="G30" s="62">
        <v>10748.54188044</v>
      </c>
      <c r="H30" s="14" t="s">
        <v>3</v>
      </c>
      <c r="I30" s="1"/>
    </row>
    <row r="31" spans="1:9" x14ac:dyDescent="0.25">
      <c r="A31" s="1"/>
      <c r="B31" s="119" t="s">
        <v>67</v>
      </c>
      <c r="C31" s="120"/>
      <c r="D31" s="120"/>
      <c r="E31" s="120"/>
      <c r="F31" s="121"/>
      <c r="G31" s="23">
        <f>G29*'Fane 15. Nøgletal'!C24+G30*'Fane 15. Nøgletal'!C25</f>
        <v>1153165.6040625507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39581787.969402462</v>
      </c>
      <c r="H35" s="14" t="s">
        <v>3</v>
      </c>
      <c r="I35" s="1"/>
    </row>
    <row r="36" spans="1:9" x14ac:dyDescent="0.25">
      <c r="A36" s="1"/>
      <c r="B36" s="119" t="s">
        <v>251</v>
      </c>
      <c r="C36" s="120"/>
      <c r="D36" s="120"/>
      <c r="E36" s="120"/>
      <c r="F36" s="121"/>
      <c r="G36" s="62">
        <v>82259.235319910018</v>
      </c>
      <c r="H36" s="14" t="s">
        <v>3</v>
      </c>
      <c r="I36" s="1"/>
    </row>
    <row r="37" spans="1:9" x14ac:dyDescent="0.25">
      <c r="A37" s="1"/>
      <c r="B37" s="119" t="s">
        <v>131</v>
      </c>
      <c r="C37" s="120"/>
      <c r="D37" s="120"/>
      <c r="E37" s="120"/>
      <c r="F37" s="121"/>
      <c r="G37" s="23">
        <f>(G35+G36)*'Fane 15. Nøgletal'!C26</f>
        <v>587027.89862989122</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39205973.469802596</v>
      </c>
      <c r="H41" s="14" t="s">
        <v>3</v>
      </c>
      <c r="I41" s="1"/>
    </row>
    <row r="42" spans="1:9" x14ac:dyDescent="0.25">
      <c r="A42" s="1"/>
      <c r="B42" s="40" t="s">
        <v>156</v>
      </c>
      <c r="C42" s="81"/>
      <c r="D42" s="81"/>
      <c r="E42" s="81"/>
      <c r="F42" s="82"/>
      <c r="G42" s="23">
        <v>19978.994449440001</v>
      </c>
      <c r="H42" s="14" t="s">
        <v>3</v>
      </c>
      <c r="I42" s="1"/>
    </row>
    <row r="43" spans="1:9" x14ac:dyDescent="0.25">
      <c r="A43" s="1"/>
      <c r="B43" s="119" t="s">
        <v>132</v>
      </c>
      <c r="C43" s="120"/>
      <c r="D43" s="120"/>
      <c r="E43" s="120"/>
      <c r="F43" s="121"/>
      <c r="G43" s="23">
        <f>(G41)*'Fane 15. Nøgletal'!C26+G42*'Fane 15. Nøgletal'!C27</f>
        <v>580248.40735307848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41768276.944696389</v>
      </c>
      <c r="H53" s="14" t="s">
        <v>3</v>
      </c>
      <c r="I53" s="1"/>
    </row>
    <row r="54" spans="1:9" x14ac:dyDescent="0.25">
      <c r="A54" s="1"/>
      <c r="B54" s="80" t="s">
        <v>195</v>
      </c>
      <c r="C54" s="81"/>
      <c r="D54" s="81"/>
      <c r="E54" s="81"/>
      <c r="F54" s="82"/>
      <c r="G54" s="23">
        <f>('Fane 2.1. Økonomisk ramme 2024'!C11+'Fane 2.1. Økonomisk ramme 2024'!C13+'Fane 2.1. Økonomisk ramme 2024'!C15)*(1+'Fane 15. Nøgletal'!C16)</f>
        <v>55164.618035699197</v>
      </c>
      <c r="H54" s="14" t="s">
        <v>3</v>
      </c>
      <c r="I54" s="1"/>
    </row>
    <row r="55" spans="1:9" x14ac:dyDescent="0.25">
      <c r="A55" s="1"/>
      <c r="B55" s="119" t="s">
        <v>218</v>
      </c>
      <c r="C55" s="120"/>
      <c r="D55" s="120"/>
      <c r="E55" s="120"/>
      <c r="F55" s="121"/>
      <c r="G55" s="74">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45202775.641000837</v>
      </c>
      <c r="H59" s="14" t="s">
        <v>3</v>
      </c>
      <c r="I59" s="1"/>
    </row>
    <row r="60" spans="1:9" x14ac:dyDescent="0.25">
      <c r="A60" s="1"/>
      <c r="B60" s="119" t="s">
        <v>220</v>
      </c>
      <c r="C60" s="120"/>
      <c r="D60" s="120"/>
      <c r="E60" s="120"/>
      <c r="F60" s="121"/>
      <c r="G60" s="74">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48855159.912793703</v>
      </c>
      <c r="H64" s="14" t="s">
        <v>3</v>
      </c>
      <c r="I64" s="1"/>
    </row>
    <row r="65" spans="1:9" x14ac:dyDescent="0.25">
      <c r="A65" s="1"/>
      <c r="B65" s="119" t="s">
        <v>222</v>
      </c>
      <c r="C65" s="120"/>
      <c r="D65" s="120"/>
      <c r="E65" s="120"/>
      <c r="F65" s="121"/>
      <c r="G65" s="74">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52802656.833747432</v>
      </c>
      <c r="H69" s="14" t="s">
        <v>3</v>
      </c>
      <c r="I69" s="1"/>
    </row>
    <row r="70" spans="1:9" x14ac:dyDescent="0.25">
      <c r="A70" s="1"/>
      <c r="B70" s="119" t="s">
        <v>222</v>
      </c>
      <c r="C70" s="120"/>
      <c r="D70" s="120"/>
      <c r="E70" s="120"/>
      <c r="F70" s="121"/>
      <c r="G70" s="74">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0"/>
      <c r="B75" s="60"/>
      <c r="C75" s="60"/>
      <c r="D75" s="60"/>
      <c r="E75" s="60"/>
      <c r="F75" s="60"/>
      <c r="G75" s="60"/>
      <c r="H75" s="60"/>
      <c r="I75" s="60"/>
    </row>
    <row r="76" spans="1:9" x14ac:dyDescent="0.25">
      <c r="A76" s="60"/>
      <c r="B76" s="60"/>
      <c r="C76" s="60"/>
      <c r="D76" s="60"/>
      <c r="E76" s="60"/>
      <c r="F76" s="60"/>
      <c r="G76" s="60"/>
      <c r="H76" s="60"/>
      <c r="I76" s="60"/>
    </row>
    <row r="77" spans="1:9" x14ac:dyDescent="0.25">
      <c r="A77" s="60"/>
      <c r="B77" s="60"/>
      <c r="C77" s="60"/>
      <c r="D77" s="60"/>
      <c r="E77" s="60"/>
      <c r="F77" s="60"/>
      <c r="G77" s="60"/>
      <c r="H77" s="60"/>
      <c r="I77" s="60"/>
    </row>
    <row r="78" spans="1:9" x14ac:dyDescent="0.25">
      <c r="A78" s="60"/>
      <c r="B78" s="60"/>
      <c r="C78" s="60"/>
      <c r="D78" s="60"/>
      <c r="E78" s="60"/>
      <c r="F78" s="60"/>
      <c r="G78" s="60"/>
      <c r="H78" s="60"/>
      <c r="I78" s="60"/>
    </row>
    <row r="79" spans="1:9" x14ac:dyDescent="0.25">
      <c r="A79" s="60"/>
      <c r="B79" s="60"/>
      <c r="C79" s="60"/>
      <c r="D79" s="60"/>
      <c r="E79" s="60"/>
      <c r="F79" s="60"/>
      <c r="G79" s="60"/>
      <c r="H79" s="60"/>
      <c r="I79" s="60"/>
    </row>
    <row r="80" spans="1:9" x14ac:dyDescent="0.25">
      <c r="A80" s="60"/>
      <c r="B80" s="60"/>
      <c r="C80" s="60"/>
      <c r="D80" s="60"/>
      <c r="E80" s="60"/>
      <c r="F80" s="60"/>
      <c r="G80" s="60"/>
      <c r="H80" s="60"/>
      <c r="I80" s="60"/>
    </row>
    <row r="81" spans="1:9" x14ac:dyDescent="0.25">
      <c r="A81" s="60"/>
      <c r="B81" s="60"/>
      <c r="C81" s="60"/>
      <c r="D81" s="60"/>
      <c r="E81" s="60"/>
      <c r="F81" s="60"/>
      <c r="G81" s="60"/>
      <c r="H81" s="60"/>
      <c r="I81" s="60"/>
    </row>
    <row r="82" spans="1:9" x14ac:dyDescent="0.25">
      <c r="A82" s="60"/>
      <c r="B82" s="60"/>
      <c r="C82" s="60"/>
      <c r="D82" s="60"/>
      <c r="E82" s="60"/>
      <c r="F82" s="60"/>
      <c r="G82" s="60"/>
      <c r="H82" s="60"/>
      <c r="I82" s="60"/>
    </row>
    <row r="83" spans="1:9" x14ac:dyDescent="0.25">
      <c r="A83" s="60"/>
      <c r="B83" s="60"/>
      <c r="C83" s="60"/>
      <c r="D83" s="60"/>
      <c r="E83" s="60"/>
      <c r="F83" s="60"/>
      <c r="G83" s="60"/>
      <c r="H83" s="60"/>
      <c r="I83" s="60"/>
    </row>
    <row r="84" spans="1:9" x14ac:dyDescent="0.25">
      <c r="A84" s="60"/>
      <c r="B84" s="60"/>
      <c r="C84" s="60"/>
      <c r="D84" s="60"/>
      <c r="E84" s="60"/>
      <c r="F84" s="60"/>
      <c r="G84" s="60"/>
      <c r="H84" s="60"/>
      <c r="I84" s="60"/>
    </row>
    <row r="85" spans="1:9" x14ac:dyDescent="0.25">
      <c r="A85" s="60"/>
      <c r="B85" s="60"/>
      <c r="C85" s="60"/>
      <c r="D85" s="60"/>
      <c r="E85" s="60"/>
      <c r="F85" s="60"/>
      <c r="G85" s="60"/>
      <c r="H85" s="60"/>
      <c r="I85" s="60"/>
    </row>
    <row r="86" spans="1:9" x14ac:dyDescent="0.25">
      <c r="A86" s="60"/>
      <c r="B86" s="60"/>
      <c r="C86" s="60"/>
      <c r="D86" s="60"/>
      <c r="E86" s="60"/>
      <c r="F86" s="60"/>
      <c r="G86" s="60"/>
      <c r="H86" s="60"/>
      <c r="I86" s="60"/>
    </row>
    <row r="87" spans="1:9" x14ac:dyDescent="0.25">
      <c r="A87" s="60"/>
      <c r="B87" s="60"/>
      <c r="C87" s="60"/>
      <c r="D87" s="60"/>
      <c r="E87" s="60"/>
      <c r="F87" s="60"/>
      <c r="G87" s="60"/>
      <c r="H87" s="60"/>
      <c r="I87" s="60"/>
    </row>
    <row r="88" spans="1:9" x14ac:dyDescent="0.25">
      <c r="A88" s="60"/>
      <c r="B88" s="60"/>
      <c r="C88" s="60"/>
      <c r="D88" s="60"/>
      <c r="E88" s="60"/>
      <c r="F88" s="60"/>
      <c r="G88" s="60"/>
      <c r="H88" s="60"/>
      <c r="I88" s="60"/>
    </row>
    <row r="89" spans="1:9" x14ac:dyDescent="0.25">
      <c r="A89" s="60"/>
      <c r="B89" s="60"/>
      <c r="C89" s="60"/>
      <c r="D89" s="60"/>
      <c r="E89" s="60"/>
      <c r="F89" s="60"/>
      <c r="G89" s="60"/>
      <c r="H89" s="60"/>
      <c r="I89" s="60"/>
    </row>
    <row r="90" spans="1:9" x14ac:dyDescent="0.25">
      <c r="A90" s="60"/>
      <c r="B90" s="60"/>
      <c r="C90" s="60"/>
      <c r="D90" s="60"/>
      <c r="E90" s="60"/>
      <c r="F90" s="60"/>
      <c r="G90" s="60"/>
      <c r="H90" s="60"/>
      <c r="I90" s="60"/>
    </row>
    <row r="91" spans="1:9" x14ac:dyDescent="0.25">
      <c r="A91" s="60"/>
      <c r="B91" s="60"/>
      <c r="C91" s="60"/>
      <c r="D91" s="60"/>
      <c r="E91" s="60"/>
      <c r="F91" s="60"/>
      <c r="G91" s="60"/>
      <c r="H91" s="60"/>
      <c r="I91" s="60"/>
    </row>
    <row r="92" spans="1:9" x14ac:dyDescent="0.25">
      <c r="A92" s="60"/>
      <c r="B92" s="60"/>
      <c r="C92" s="60"/>
      <c r="D92" s="60"/>
      <c r="E92" s="60"/>
      <c r="F92" s="60"/>
      <c r="G92" s="60"/>
      <c r="H92" s="60"/>
      <c r="I92" s="60"/>
    </row>
    <row r="93" spans="1:9" x14ac:dyDescent="0.25">
      <c r="A93" s="60"/>
      <c r="B93" s="60"/>
      <c r="C93" s="60"/>
      <c r="D93" s="60"/>
      <c r="E93" s="60"/>
      <c r="F93" s="60"/>
      <c r="G93" s="60"/>
      <c r="H93" s="60"/>
      <c r="I93" s="60"/>
    </row>
    <row r="94" spans="1:9" x14ac:dyDescent="0.25">
      <c r="A94" s="60"/>
      <c r="B94" s="60"/>
      <c r="C94" s="60"/>
      <c r="D94" s="60"/>
      <c r="E94" s="60"/>
      <c r="F94" s="60"/>
      <c r="G94" s="60"/>
      <c r="H94" s="60"/>
      <c r="I94" s="60"/>
    </row>
    <row r="95" spans="1:9" x14ac:dyDescent="0.25">
      <c r="A95" s="60"/>
      <c r="B95" s="60"/>
      <c r="C95" s="60"/>
      <c r="D95" s="60"/>
      <c r="E95" s="60"/>
      <c r="F95" s="60"/>
      <c r="G95" s="60"/>
      <c r="H95" s="60"/>
      <c r="I95" s="60"/>
    </row>
    <row r="96" spans="1:9" x14ac:dyDescent="0.25">
      <c r="A96" s="60"/>
      <c r="B96" s="60"/>
      <c r="C96" s="60"/>
      <c r="D96" s="60"/>
      <c r="E96" s="60"/>
      <c r="F96" s="60"/>
      <c r="G96" s="60"/>
      <c r="H96" s="60"/>
      <c r="I96" s="60"/>
    </row>
    <row r="97" spans="1:9" x14ac:dyDescent="0.25">
      <c r="A97" s="60"/>
      <c r="B97" s="60"/>
      <c r="C97" s="60"/>
      <c r="D97" s="60"/>
      <c r="E97" s="60"/>
      <c r="F97" s="60"/>
      <c r="G97" s="60"/>
      <c r="H97" s="60"/>
      <c r="I97" s="60"/>
    </row>
    <row r="98" spans="1:9" x14ac:dyDescent="0.25">
      <c r="A98" s="60"/>
      <c r="B98" s="60"/>
      <c r="C98" s="60"/>
      <c r="D98" s="60"/>
      <c r="E98" s="60"/>
      <c r="F98" s="60"/>
      <c r="G98" s="60"/>
      <c r="H98" s="60"/>
      <c r="I98" s="60"/>
    </row>
    <row r="99" spans="1:9" x14ac:dyDescent="0.25">
      <c r="A99" s="60"/>
      <c r="B99" s="60"/>
      <c r="C99" s="60"/>
      <c r="D99" s="60"/>
      <c r="E99" s="60"/>
      <c r="F99" s="60"/>
      <c r="G99" s="60"/>
      <c r="H99" s="60"/>
      <c r="I99" s="60"/>
    </row>
    <row r="100" spans="1:9" x14ac:dyDescent="0.25">
      <c r="A100" s="60"/>
      <c r="B100" s="60"/>
      <c r="C100" s="60"/>
      <c r="D100" s="60"/>
      <c r="E100" s="60"/>
      <c r="F100" s="60"/>
      <c r="G100" s="60"/>
      <c r="H100" s="60"/>
      <c r="I100" s="60"/>
    </row>
  </sheetData>
  <sheetProtection algorithmName="SHA-512" hashValue="u07tY9EaAl6LwKkYkhnZUzfU2+q4oKXCIzfX/BsgqtsiASFf4AyrTQg/32RX3HL+RJStj7c48ccfYJtI70mdwQ==" saltValue="6ObrTbrGXX1ycRzTv/HuBA=="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76</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271</v>
      </c>
      <c r="C9" s="120"/>
      <c r="D9" s="120"/>
      <c r="E9" s="120"/>
      <c r="F9" s="121"/>
      <c r="G9" s="22">
        <v>0</v>
      </c>
      <c r="H9" s="1"/>
    </row>
    <row r="10" spans="1:8" x14ac:dyDescent="0.25">
      <c r="A10" s="1"/>
      <c r="B10" s="33"/>
      <c r="C10" s="28"/>
      <c r="D10" s="28"/>
      <c r="E10" s="28"/>
      <c r="F10" s="28"/>
      <c r="G10" s="19"/>
      <c r="H10" s="1"/>
    </row>
    <row r="11" spans="1:8" ht="33" customHeight="1" x14ac:dyDescent="0.25">
      <c r="A11" s="1"/>
      <c r="B11" s="133" t="s">
        <v>264</v>
      </c>
      <c r="C11" s="133"/>
      <c r="D11" s="133"/>
      <c r="E11" s="133"/>
      <c r="F11" s="133"/>
      <c r="G11" s="13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9YDAQOQmi4V65qJSN3z02WRdBWbdgca2rKjGwxIDMdkocGXFw0NnrB8TbDxDeqD1Yyi26ayKuoD2SLHtxUzSsw==" saltValue="aeVwCa9fsXR3S91K4JyXZ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2023-11-30T09:28:33Z</dcterms:modified>
</cp:coreProperties>
</file>