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Novafos Måløv Rens AS (S070)\ØR2025\"/>
    </mc:Choice>
  </mc:AlternateContent>
  <xr:revisionPtr revIDLastSave="0" documentId="13_ncr:1_{1D17E195-30ED-4BE9-9229-232A7E2A628F}"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2"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<sst xmlns="http://schemas.openxmlformats.org/spreadsheetml/2006/main" count="549" uniqueCount="237">
  <si>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</si>
  <si>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</si>
  <si>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</si>
  <si>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</si>
  <si>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</si>
  <si>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</si>
  <si>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</si>
  <si>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</si>
  <si>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</si>
  <si>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</si>
  <si>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</si>
  <si>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</si>
  <si>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</si>
  <si>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</si>
  <si>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</si>
  <si>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</si>
  <si>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</si>
  <si>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</si>
  <si>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</si>
  <si>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</si>
  <si>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</si>
  <si>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</si>
  <si>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</si>
  <si>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</si>
  <si>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</si>
  <si>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</si>
  <si>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</si>
  <si>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</si>
  <si>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</si>
  <si>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</si>
  <si>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</si>
  <si>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</si>
  <si>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</si>
  <si>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</si>
  <si>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</si>
  <si>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</si>
  <si>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</si>
  <si>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</si>
  <si>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</si>
  <si>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</si>
  <si>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</si>
  <si>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</si>
  <si>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</si>
  <si>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</si>
  <si>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</si>
  <si>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</si>
  <si>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</si>
  <si>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</si>
  <si>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</si>
  <si>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</si>
  <si>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</si>
  <si>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</si>
  <si>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</si>
  <si>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</si>
  <si>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</si>
  <si>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</si>
  <si>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</si>
  <si>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</si>
  <si>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</si>
  <si>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</si>
  <si>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</si>
  <si>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</si>
  <si>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</si>
  <si>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</si>
  <si>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</si>
  <si>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</si>
  <si>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</si>
  <si>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</si>
  <si>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</si>
  <si>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</si>
  <si>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</si>
  <si>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</si>
  <si>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</si>
  <si>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</si>
  <si>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</si>
  <si>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</si>
  <si>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</si>
  <si>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</si>
  <si>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</si>
  <si>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</si>
  <si>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</si>
  <si>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</si>
  <si>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</si>
  <si>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</si>
  <si>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</si>
  <si>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</si>
  <si>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</si>
  <si>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</si>
  <si>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</si>
  <si>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</si>
  <si>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</si>
  <si>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</si>
  <si>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</si>
  <si>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</si>
  <si>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</si>
  <si>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</si>
  <si>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</si>
  <si>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</si>
  <si>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</si>
  <si>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</si>
  <si>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</si>
  <si>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</si>
  <si>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</si>
  <si>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</si>
  <si>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</si>
  <si>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</si>
  <si>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</si>
  <si>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</si>
  <si>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</si>
  <si>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</si>
  <si>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</si>
  <si>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</si>
  <si>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</si>
  <si>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</si>
  <si>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</si>
  <si>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</si>
  <si>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</si>
  <si>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</si>
  <si>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</si>
  <si>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</si>
  <si>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</si>
  <si>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</si>
  <si>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</si>
  <si>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</si>
  <si>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</si>
  <si>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</si>
  <si>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</si>
  <si>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</si>
  <si>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</si>
  <si>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</si>
  <si>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</si>
  <si>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</si>
  <si>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</si>
  <si>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</si>
  <si>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</si>
  <si>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</si>
  <si>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</si>
  <si>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</si>
  <si>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</si>
  <si>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</si>
  <si>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</si>
  <si>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</si>
  <si>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</si>
  <si>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</si>
  <si>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</si>
  <si>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</si>
  <si>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</si>
  <si>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</si>
  <si>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</si>
  <si>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</si>
  <si>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</si>
  <si>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</si>
  <si>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</si>
  <si>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</si>
  <si>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</si>
  <si>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</si>
  <si>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</si>
  <si>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</si>
  <si>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</si>
  <si>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</si>
  <si>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</si>
  <si>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</si>
  <si>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</si>
  <si>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</si>
  <si>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</si>
  <si>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</si>
  <si>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</si>
  <si>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</si>
  <si>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</si>
  <si>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</si>
  <si>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</si>
  <si>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</si>
  <si>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</si>
  <si>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</si>
  <si>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</si>
  <si>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</si>
  <si>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</si>
  <si>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</si>
  <si>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</si>
  <si>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</si>
  <si>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</si>
  <si>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</si>
  <si>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</si>
  <si>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</si>
  <si>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</si>
  <si>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</si>
  <si>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</si>
  <si>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</si>
  <si>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</si>
  <si>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</si>
  <si>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</si>
  <si>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</si>
  <si>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</si>
  <si>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</si>
  <si>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</si>
  <si>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</si>
  <si>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</si>
  <si>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</si>
  <si>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</si>
  <si>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</si>
  <si>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</si>
  <si>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</si>
  <si>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</si>
  <si>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</si>
  <si>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</si>
  <si>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</si>
  <si>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</si>
  <si>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</si>
  <si>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</si>
  <si>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</si>
  <si>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</si>
  <si>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</si>
  <si>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</si>
  <si>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</si>
  <si>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</si>
  <si>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</si>
  <si>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</si>
  <si>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</si>
  <si>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</si>
  <si>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</si>
  <si>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</si>
  <si>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</si>
  <si>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</si>
  <si>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</si>
  <si>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</si>
  <si>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</si>
  <si>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</si>
  <si>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</si>
  <si>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</si>
  <si>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</si>
  <si>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</si>
  <si>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</si>
  <si>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</si>
  <si>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</si>
  <si>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</si>
  <si>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Øvrige afgifter</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</si>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</sst>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3"/>
    </row>
    <row r="7" spans="1:7" ht="15" customHeight="1" x14ac:dyDescent="0.25">
      <c r="A7" s="1"/>
      <c r="B7" s="3"/>
      <c r="C7" s="88"/>
      <c r="D7" s="88"/>
      <c r="E7" s="88"/>
      <c r="F7" s="88"/>
      <c r="G7" s="3"/>
    </row>
    <row r="8" spans="1:7" ht="15.75" x14ac:dyDescent="0.25">
      <c r="A8" s="1"/>
      <c r="B8" s="4"/>
      <c r="C8" s="96" t="s">
        <v>236</v>
      </c>
      <c r="D8" s="96"/>
      <c r="E8" s="96"/>
      <c r="F8" s="96"/>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5" t="s">
        <v>5</v>
      </c>
      <c r="D11" s="95"/>
      <c r="E11" s="95"/>
      <c r="F11" s="95"/>
      <c r="G11" s="5"/>
    </row>
    <row r="12" spans="1:7" x14ac:dyDescent="0.25">
      <c r="A12" s="1"/>
      <c r="B12" s="1"/>
      <c r="C12" s="1"/>
      <c r="D12" s="1"/>
      <c r="E12" s="1"/>
      <c r="F12" s="1"/>
      <c r="G12" s="5"/>
    </row>
    <row r="13" spans="1:7" x14ac:dyDescent="0.25">
      <c r="A13" s="1"/>
      <c r="B13" s="6" t="s">
        <v>6</v>
      </c>
      <c r="C13" s="100" t="s">
        <v>128</v>
      </c>
      <c r="D13" s="101"/>
      <c r="E13" s="101"/>
      <c r="F13" s="102"/>
      <c r="G13" s="5"/>
    </row>
    <row r="14" spans="1:7" x14ac:dyDescent="0.25">
      <c r="A14" s="1"/>
      <c r="B14" s="6" t="s">
        <v>16</v>
      </c>
      <c r="C14" s="85" t="s">
        <v>187</v>
      </c>
      <c r="D14" s="86"/>
      <c r="E14" s="86"/>
      <c r="F14" s="87"/>
      <c r="G14" s="5"/>
    </row>
    <row r="15" spans="1:7" x14ac:dyDescent="0.25">
      <c r="A15" s="1"/>
      <c r="B15" s="6" t="s">
        <v>30</v>
      </c>
      <c r="C15" s="85" t="s">
        <v>150</v>
      </c>
      <c r="D15" s="86"/>
      <c r="E15" s="86"/>
      <c r="F15" s="87"/>
      <c r="G15" s="5"/>
    </row>
    <row r="16" spans="1:7" x14ac:dyDescent="0.25">
      <c r="A16" s="1"/>
      <c r="B16" s="6" t="s">
        <v>31</v>
      </c>
      <c r="C16" s="85" t="s">
        <v>152</v>
      </c>
      <c r="D16" s="86"/>
      <c r="E16" s="86"/>
      <c r="F16" s="87"/>
      <c r="G16" s="5"/>
    </row>
    <row r="17" spans="1:8" x14ac:dyDescent="0.25">
      <c r="A17" s="1"/>
      <c r="B17" s="6" t="s">
        <v>62</v>
      </c>
      <c r="C17" s="85" t="s">
        <v>153</v>
      </c>
      <c r="D17" s="86"/>
      <c r="E17" s="86"/>
      <c r="F17" s="87"/>
      <c r="G17" s="5"/>
    </row>
    <row r="18" spans="1:8" x14ac:dyDescent="0.25">
      <c r="A18" s="1"/>
      <c r="B18" s="6" t="s">
        <v>54</v>
      </c>
      <c r="C18" s="97" t="s">
        <v>46</v>
      </c>
      <c r="D18" s="98"/>
      <c r="E18" s="98"/>
      <c r="F18" s="99"/>
      <c r="G18" s="5"/>
    </row>
    <row r="19" spans="1:8" x14ac:dyDescent="0.25">
      <c r="A19" s="1"/>
      <c r="B19" s="6" t="s">
        <v>55</v>
      </c>
      <c r="C19" s="97" t="s">
        <v>47</v>
      </c>
      <c r="D19" s="98"/>
      <c r="E19" s="98"/>
      <c r="F19" s="99"/>
      <c r="G19" s="5"/>
    </row>
    <row r="20" spans="1:8" x14ac:dyDescent="0.25">
      <c r="A20" s="1"/>
      <c r="B20" s="6" t="s">
        <v>7</v>
      </c>
      <c r="C20" s="97" t="s">
        <v>10</v>
      </c>
      <c r="D20" s="98"/>
      <c r="E20" s="98"/>
      <c r="F20" s="99"/>
      <c r="G20" s="5"/>
    </row>
    <row r="21" spans="1:8" x14ac:dyDescent="0.25">
      <c r="A21" s="1"/>
      <c r="B21" s="6" t="s">
        <v>56</v>
      </c>
      <c r="C21" s="89" t="s">
        <v>12</v>
      </c>
      <c r="D21" s="90"/>
      <c r="E21" s="90"/>
      <c r="F21" s="91"/>
      <c r="G21" s="5"/>
    </row>
    <row r="22" spans="1:8" x14ac:dyDescent="0.25">
      <c r="A22" s="1"/>
      <c r="B22" s="6" t="s">
        <v>40</v>
      </c>
      <c r="C22" s="92" t="s">
        <v>154</v>
      </c>
      <c r="D22" s="93"/>
      <c r="E22" s="93"/>
      <c r="F22" s="94"/>
      <c r="G22" s="5"/>
    </row>
    <row r="23" spans="1:8" x14ac:dyDescent="0.25">
      <c r="A23" s="1"/>
      <c r="B23" s="6" t="s">
        <v>8</v>
      </c>
      <c r="C23" s="92" t="s">
        <v>113</v>
      </c>
      <c r="D23" s="93"/>
      <c r="E23" s="93"/>
      <c r="F23" s="94"/>
      <c r="G23" s="5"/>
    </row>
    <row r="24" spans="1:8" x14ac:dyDescent="0.25">
      <c r="A24" s="1"/>
      <c r="B24" s="6" t="s">
        <v>9</v>
      </c>
      <c r="C24" s="92" t="s">
        <v>155</v>
      </c>
      <c r="D24" s="93"/>
      <c r="E24" s="93"/>
      <c r="F24" s="94"/>
      <c r="G24" s="5"/>
    </row>
    <row r="25" spans="1:8" x14ac:dyDescent="0.25">
      <c r="A25" s="1"/>
      <c r="B25" s="6" t="s">
        <v>98</v>
      </c>
      <c r="C25" s="92" t="s">
        <v>92</v>
      </c>
      <c r="D25" s="93"/>
      <c r="E25" s="93"/>
      <c r="F25" s="94"/>
      <c r="G25" s="1"/>
    </row>
    <row r="26" spans="1:8" x14ac:dyDescent="0.25">
      <c r="A26" s="1"/>
      <c r="B26" s="6" t="s">
        <v>99</v>
      </c>
      <c r="C26" s="92" t="s">
        <v>41</v>
      </c>
      <c r="D26" s="93"/>
      <c r="E26" s="93"/>
      <c r="F26" s="94"/>
      <c r="G26" s="1"/>
    </row>
    <row r="27" spans="1:8" x14ac:dyDescent="0.25">
      <c r="A27" s="1"/>
      <c r="B27" s="6" t="s">
        <v>100</v>
      </c>
      <c r="C27" s="92" t="s">
        <v>42</v>
      </c>
      <c r="D27" s="93"/>
      <c r="E27" s="93"/>
      <c r="F27" s="94"/>
      <c r="G27" s="1"/>
    </row>
    <row r="28" spans="1:8" x14ac:dyDescent="0.25">
      <c r="A28" s="1"/>
      <c r="B28" s="6" t="s">
        <v>15</v>
      </c>
      <c r="C28" s="92" t="s">
        <v>43</v>
      </c>
      <c r="D28" s="93"/>
      <c r="E28" s="93"/>
      <c r="F28" s="94"/>
      <c r="G28" s="1"/>
      <c r="H28" s="2" t="s">
        <v>151</v>
      </c>
    </row>
    <row r="29" spans="1:8" x14ac:dyDescent="0.25">
      <c r="A29" s="1"/>
      <c r="B29" s="6" t="s">
        <v>33</v>
      </c>
      <c r="C29" s="92" t="s">
        <v>69</v>
      </c>
      <c r="D29" s="93"/>
      <c r="E29" s="93"/>
      <c r="F29" s="94"/>
      <c r="G29" s="1"/>
    </row>
    <row r="30" spans="1:8" x14ac:dyDescent="0.25">
      <c r="A30" s="1"/>
      <c r="B30" s="6" t="s">
        <v>34</v>
      </c>
      <c r="C30" s="92" t="s">
        <v>32</v>
      </c>
      <c r="D30" s="93"/>
      <c r="E30" s="93"/>
      <c r="F30" s="94"/>
      <c r="G30" s="1"/>
    </row>
    <row r="31" spans="1:8" x14ac:dyDescent="0.25">
      <c r="A31" s="1"/>
      <c r="B31" s="6" t="s">
        <v>101</v>
      </c>
      <c r="C31" s="103" t="s">
        <v>53</v>
      </c>
      <c r="D31" s="104"/>
      <c r="E31" s="104"/>
      <c r="F31" s="105"/>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NkQTAIbpDimxy/enA2lxtcjpYp6vR22vUNMP/8A4BNQWqKNS9t9rv0xCeVBg+H8WnsAWh2iRhlATgPC+OG1e6A==" saltValue="nNVj2agnifomDouJiZuPB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59</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3" t="s">
        <v>166</v>
      </c>
      <c r="C8" s="114"/>
      <c r="D8" s="115"/>
      <c r="E8" s="1"/>
    </row>
    <row r="9" spans="1:5" ht="15" customHeight="1" x14ac:dyDescent="0.25">
      <c r="A9" s="1"/>
      <c r="B9" s="27" t="s">
        <v>28</v>
      </c>
      <c r="C9" s="68" t="s">
        <v>167</v>
      </c>
      <c r="D9" s="11"/>
      <c r="E9" s="1"/>
    </row>
    <row r="10" spans="1:5" ht="15" customHeight="1" x14ac:dyDescent="0.25">
      <c r="A10" s="1"/>
      <c r="B10" s="73" t="s">
        <v>231</v>
      </c>
      <c r="C10" s="74">
        <v>1442681</v>
      </c>
      <c r="D10" s="14" t="s">
        <v>3</v>
      </c>
      <c r="E10" s="1"/>
    </row>
    <row r="11" spans="1:5" ht="15" customHeight="1" x14ac:dyDescent="0.25">
      <c r="A11" s="1"/>
      <c r="B11" s="73" t="s">
        <v>232</v>
      </c>
      <c r="C11" s="74">
        <v>83611</v>
      </c>
      <c r="D11" s="14" t="s">
        <v>3</v>
      </c>
      <c r="E11" s="1"/>
    </row>
    <row r="12" spans="1:5" ht="25.5" x14ac:dyDescent="0.25">
      <c r="A12" s="1"/>
      <c r="B12" s="73" t="s">
        <v>233</v>
      </c>
      <c r="C12" s="74">
        <v>19657</v>
      </c>
      <c r="D12" s="14" t="s">
        <v>3</v>
      </c>
      <c r="E12" s="1"/>
    </row>
    <row r="13" spans="1:5" x14ac:dyDescent="0.25">
      <c r="A13" s="1"/>
      <c r="B13" s="73" t="s">
        <v>234</v>
      </c>
      <c r="C13" s="74">
        <v>133902</v>
      </c>
      <c r="D13" s="14" t="s">
        <v>3</v>
      </c>
      <c r="E13" s="1"/>
    </row>
    <row r="14" spans="1:5" x14ac:dyDescent="0.25">
      <c r="A14" s="1"/>
      <c r="B14" s="73" t="s">
        <v>235</v>
      </c>
      <c r="C14" s="74">
        <v>662</v>
      </c>
      <c r="D14" s="14" t="s">
        <v>3</v>
      </c>
      <c r="E14" s="1"/>
    </row>
    <row r="15" spans="1:5" x14ac:dyDescent="0.25">
      <c r="A15" s="1"/>
      <c r="B15" s="73"/>
      <c r="C15" s="74"/>
      <c r="D15" s="14" t="s">
        <v>3</v>
      </c>
      <c r="E15" s="1"/>
    </row>
    <row r="16" spans="1:5" x14ac:dyDescent="0.25">
      <c r="A16" s="1"/>
      <c r="B16" s="73"/>
      <c r="C16" s="74"/>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168</v>
      </c>
      <c r="C20" s="12">
        <f>SUM(C10:C19)</f>
        <v>1680513</v>
      </c>
      <c r="D20" s="13" t="s">
        <v>3</v>
      </c>
      <c r="E20" s="1"/>
    </row>
    <row r="21" spans="1:5" x14ac:dyDescent="0.25">
      <c r="A21" s="1"/>
      <c r="B21" s="33" t="s">
        <v>169</v>
      </c>
      <c r="C21" s="12">
        <f>C20*(1+'Fane 15. Nøgletal'!C10)^2</f>
        <v>1910736.0379889701</v>
      </c>
      <c r="D21" s="13" t="s">
        <v>3</v>
      </c>
      <c r="E21" s="1"/>
    </row>
    <row r="22" spans="1:5" x14ac:dyDescent="0.25">
      <c r="A22" s="1"/>
      <c r="B22" s="16"/>
      <c r="C22" s="15"/>
      <c r="D22" s="15"/>
      <c r="E22" s="1"/>
    </row>
    <row r="23" spans="1:5" x14ac:dyDescent="0.25">
      <c r="A23" s="1"/>
      <c r="B23" s="16"/>
      <c r="C23" s="15"/>
      <c r="D23" s="15"/>
      <c r="E23" s="1"/>
    </row>
    <row r="24" spans="1:5" x14ac:dyDescent="0.25">
      <c r="A24" s="1"/>
      <c r="B24" s="113" t="s">
        <v>61</v>
      </c>
      <c r="C24" s="114"/>
      <c r="D24" s="115"/>
      <c r="E24" s="1"/>
    </row>
    <row r="25" spans="1:5" x14ac:dyDescent="0.25">
      <c r="A25" s="1"/>
      <c r="B25" s="37" t="s">
        <v>73</v>
      </c>
      <c r="C25" s="9">
        <v>0</v>
      </c>
      <c r="D25" s="14" t="s">
        <v>3</v>
      </c>
      <c r="E25" s="1"/>
    </row>
    <row r="26" spans="1:5" x14ac:dyDescent="0.25">
      <c r="A26" s="1"/>
      <c r="B26" s="37" t="s">
        <v>84</v>
      </c>
      <c r="C26" s="9">
        <v>0</v>
      </c>
      <c r="D26" s="14" t="s">
        <v>3</v>
      </c>
      <c r="E26" s="1"/>
    </row>
    <row r="27" spans="1:5" x14ac:dyDescent="0.25">
      <c r="A27" s="1"/>
      <c r="B27" s="37" t="s">
        <v>149</v>
      </c>
      <c r="C27" s="9">
        <v>0</v>
      </c>
      <c r="D27" s="14" t="s">
        <v>3</v>
      </c>
      <c r="E27" s="1"/>
    </row>
    <row r="28" spans="1:5" x14ac:dyDescent="0.25">
      <c r="A28" s="1"/>
      <c r="B28" s="34" t="s">
        <v>170</v>
      </c>
      <c r="C28" s="9">
        <v>0</v>
      </c>
      <c r="D28" s="36" t="s">
        <v>3</v>
      </c>
      <c r="E28" s="1"/>
    </row>
    <row r="29" spans="1:5" x14ac:dyDescent="0.25">
      <c r="A29" s="1"/>
      <c r="B29" s="113"/>
      <c r="C29" s="114"/>
      <c r="D29" s="115"/>
      <c r="E29" s="1"/>
    </row>
    <row r="30" spans="1:5" x14ac:dyDescent="0.25">
      <c r="A30" s="1"/>
      <c r="B30" s="1"/>
      <c r="C30" s="1"/>
      <c r="D30" s="1"/>
      <c r="E30" s="1"/>
    </row>
    <row r="31" spans="1:5" x14ac:dyDescent="0.25">
      <c r="A31" s="1"/>
      <c r="B31" s="1"/>
      <c r="C31" s="1"/>
      <c r="D31" s="1"/>
      <c r="E31" s="1"/>
    </row>
    <row r="32" spans="1:5" x14ac:dyDescent="0.25">
      <c r="A32" s="1"/>
      <c r="B32" s="113" t="s">
        <v>48</v>
      </c>
      <c r="C32" s="114"/>
      <c r="D32" s="115"/>
      <c r="E32" s="1"/>
    </row>
    <row r="33" spans="1:5" x14ac:dyDescent="0.25">
      <c r="A33" s="1"/>
      <c r="B33" s="37" t="s">
        <v>73</v>
      </c>
      <c r="C33" s="9">
        <v>0</v>
      </c>
      <c r="D33" s="14" t="s">
        <v>3</v>
      </c>
      <c r="E33" s="1"/>
    </row>
    <row r="34" spans="1:5" x14ac:dyDescent="0.25">
      <c r="A34" s="1"/>
      <c r="B34" s="37" t="s">
        <v>84</v>
      </c>
      <c r="C34" s="9">
        <v>0</v>
      </c>
      <c r="D34" s="14" t="s">
        <v>3</v>
      </c>
      <c r="E34" s="1"/>
    </row>
    <row r="35" spans="1:5" x14ac:dyDescent="0.25">
      <c r="A35" s="1"/>
      <c r="B35" s="37" t="s">
        <v>149</v>
      </c>
      <c r="C35" s="9">
        <v>0</v>
      </c>
      <c r="D35" s="14" t="s">
        <v>3</v>
      </c>
      <c r="E35" s="1"/>
    </row>
    <row r="36" spans="1:5" x14ac:dyDescent="0.25">
      <c r="A36" s="1"/>
      <c r="B36" s="34" t="s">
        <v>170</v>
      </c>
      <c r="C36" s="9">
        <v>0</v>
      </c>
      <c r="D36" s="36" t="s">
        <v>3</v>
      </c>
      <c r="E36" s="1"/>
    </row>
    <row r="37" spans="1:5" x14ac:dyDescent="0.25">
      <c r="A37" s="1"/>
      <c r="B37" s="113"/>
      <c r="C37" s="114"/>
      <c r="D37" s="115"/>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fCtH3aJdtSqCmVOcQ+Ltkp0+lOCwG/Dc6FdqWlVFM/FMcQooMMnq7pxYEd2a0cLOZEavDpcQS2oVRwyBy/0bvQ==" saltValue="RwReKAOhUEqg7rdZC44NF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2" t="s">
        <v>202</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25">
      <c r="A6" s="1"/>
      <c r="B6" s="76"/>
      <c r="C6" s="76"/>
      <c r="D6" s="76"/>
      <c r="E6" s="1"/>
    </row>
    <row r="7" spans="1:5" x14ac:dyDescent="0.25">
      <c r="A7" s="1"/>
      <c r="B7" s="1"/>
      <c r="C7" s="1"/>
      <c r="D7" s="1"/>
      <c r="E7" s="1"/>
    </row>
    <row r="8" spans="1:5" x14ac:dyDescent="0.25">
      <c r="A8" s="1"/>
      <c r="B8" s="113" t="s">
        <v>78</v>
      </c>
      <c r="C8" s="114"/>
      <c r="D8" s="115"/>
      <c r="E8" s="1"/>
    </row>
    <row r="9" spans="1:5" x14ac:dyDescent="0.25">
      <c r="A9" s="1"/>
      <c r="B9" s="66" t="s">
        <v>205</v>
      </c>
      <c r="C9" s="9">
        <v>-479869.66083949804</v>
      </c>
      <c r="D9" s="14" t="s">
        <v>3</v>
      </c>
      <c r="E9" s="1"/>
    </row>
    <row r="10" spans="1:5" x14ac:dyDescent="0.25">
      <c r="A10" s="1"/>
      <c r="B10" s="33"/>
      <c r="C10" s="28"/>
      <c r="D10" s="19"/>
      <c r="E10" s="1"/>
    </row>
    <row r="11" spans="1:5" ht="53.25" customHeight="1" x14ac:dyDescent="0.25">
      <c r="A11" s="1"/>
      <c r="B11" s="124" t="s">
        <v>213</v>
      </c>
      <c r="C11" s="125"/>
      <c r="D11" s="126"/>
      <c r="E11" s="1"/>
    </row>
    <row r="12" spans="1:5" x14ac:dyDescent="0.25">
      <c r="A12" s="1"/>
      <c r="B12" s="1"/>
      <c r="C12" s="1"/>
      <c r="D12" s="1"/>
      <c r="E12" s="1"/>
    </row>
    <row r="13" spans="1:5" x14ac:dyDescent="0.25">
      <c r="A13" s="1"/>
      <c r="B13" s="113" t="s">
        <v>79</v>
      </c>
      <c r="C13" s="114"/>
      <c r="D13" s="115"/>
      <c r="E13" s="1"/>
    </row>
    <row r="14" spans="1:5" x14ac:dyDescent="0.25">
      <c r="A14" s="1"/>
      <c r="B14" s="66" t="s">
        <v>203</v>
      </c>
      <c r="C14" s="9">
        <v>-385943.33041974902</v>
      </c>
      <c r="D14" s="14" t="s">
        <v>3</v>
      </c>
      <c r="E14" s="1"/>
    </row>
    <row r="15" spans="1:5" x14ac:dyDescent="0.25">
      <c r="A15" s="1"/>
      <c r="B15" s="66" t="s">
        <v>204</v>
      </c>
      <c r="C15" s="9">
        <v>-385943.33041974902</v>
      </c>
      <c r="D15" s="14" t="s">
        <v>3</v>
      </c>
      <c r="E15" s="1"/>
    </row>
    <row r="16" spans="1:5" x14ac:dyDescent="0.25">
      <c r="A16" s="1"/>
      <c r="B16" s="33"/>
      <c r="C16" s="28"/>
      <c r="D16" s="19"/>
      <c r="E16" s="1"/>
    </row>
    <row r="17" spans="1:5" ht="29.25" customHeight="1" x14ac:dyDescent="0.25">
      <c r="A17" s="1"/>
      <c r="B17" s="124" t="s">
        <v>122</v>
      </c>
      <c r="C17" s="125"/>
      <c r="D17" s="126"/>
      <c r="E17" s="1"/>
    </row>
    <row r="18" spans="1:5" x14ac:dyDescent="0.25">
      <c r="A18" s="1"/>
      <c r="B18" s="1"/>
      <c r="C18" s="1"/>
      <c r="D18" s="1"/>
      <c r="E18" s="1"/>
    </row>
    <row r="19" spans="1:5" x14ac:dyDescent="0.25">
      <c r="A19" s="1"/>
      <c r="B19" s="77" t="s">
        <v>206</v>
      </c>
      <c r="C19" s="78"/>
      <c r="D19" s="79"/>
      <c r="E19" s="1"/>
    </row>
    <row r="20" spans="1:5" x14ac:dyDescent="0.25">
      <c r="A20" s="1"/>
      <c r="B20" s="66" t="s">
        <v>207</v>
      </c>
      <c r="C20" s="9">
        <v>18000562.988698039</v>
      </c>
      <c r="D20" s="14" t="s">
        <v>3</v>
      </c>
      <c r="E20" s="1"/>
    </row>
    <row r="21" spans="1:5" x14ac:dyDescent="0.25">
      <c r="A21" s="1"/>
      <c r="B21" s="66" t="s">
        <v>208</v>
      </c>
      <c r="C21" s="9">
        <v>18157352</v>
      </c>
      <c r="D21" s="14" t="s">
        <v>3</v>
      </c>
      <c r="E21" s="1"/>
    </row>
    <row r="22" spans="1:5" x14ac:dyDescent="0.25">
      <c r="A22" s="1"/>
      <c r="B22" s="66" t="s">
        <v>29</v>
      </c>
      <c r="C22" s="9">
        <v>0</v>
      </c>
      <c r="D22" s="14" t="s">
        <v>3</v>
      </c>
      <c r="E22" s="1"/>
    </row>
    <row r="23" spans="1:5" x14ac:dyDescent="0.25">
      <c r="A23" s="1"/>
      <c r="B23" s="83" t="s">
        <v>209</v>
      </c>
      <c r="C23" s="57">
        <f>C20-C21-C22</f>
        <v>-156789.0113019608</v>
      </c>
      <c r="D23" s="17" t="s">
        <v>3</v>
      </c>
      <c r="E23" s="1"/>
    </row>
    <row r="24" spans="1:5" x14ac:dyDescent="0.25">
      <c r="A24" s="1"/>
      <c r="B24" s="33"/>
      <c r="C24" s="28"/>
      <c r="D24" s="19"/>
      <c r="E24" s="1"/>
    </row>
    <row r="25" spans="1:5" x14ac:dyDescent="0.25">
      <c r="A25" s="1"/>
      <c r="B25" s="1"/>
      <c r="C25" s="1"/>
      <c r="D25" s="1"/>
      <c r="E25" s="1"/>
    </row>
    <row r="26" spans="1:5" x14ac:dyDescent="0.25">
      <c r="A26" s="1"/>
      <c r="B26" s="113" t="s">
        <v>210</v>
      </c>
      <c r="C26" s="114"/>
      <c r="D26" s="115"/>
      <c r="E26" s="1"/>
    </row>
    <row r="27" spans="1:5" x14ac:dyDescent="0.25">
      <c r="A27" s="1"/>
      <c r="B27" s="83" t="s">
        <v>211</v>
      </c>
      <c r="C27" s="57">
        <f>IF(AND(C15&lt;0,C23&gt;0,ABS(SUM(C14:C15))&lt;C23),ABS(C14),IF(AND(C15&lt;0,C23&gt;0,ABS(SUM(C14:C15))&gt;C23),SUM(C14,C23),C15))</f>
        <v>-385943.33041974902</v>
      </c>
      <c r="D27" s="17" t="s">
        <v>3</v>
      </c>
      <c r="E27" s="1"/>
    </row>
    <row r="28" spans="1:5" x14ac:dyDescent="0.25">
      <c r="A28" s="1"/>
      <c r="B28" s="113"/>
      <c r="C28" s="114"/>
      <c r="D28" s="115"/>
      <c r="E28" s="1"/>
    </row>
    <row r="29" spans="1:5" x14ac:dyDescent="0.25">
      <c r="A29" s="1"/>
      <c r="B29" s="1"/>
      <c r="C29" s="1"/>
      <c r="D29" s="1"/>
      <c r="E29" s="1"/>
    </row>
    <row r="30" spans="1:5" x14ac:dyDescent="0.25">
      <c r="A30" s="1"/>
      <c r="B30" s="113" t="s">
        <v>212</v>
      </c>
      <c r="C30" s="114"/>
      <c r="D30" s="115"/>
      <c r="E30" s="1"/>
    </row>
    <row r="31" spans="1:5" x14ac:dyDescent="0.25">
      <c r="A31" s="1"/>
      <c r="B31" s="67" t="s">
        <v>70</v>
      </c>
      <c r="C31" s="58">
        <f>IF(AND(C9&gt;0,(C9+C23)&gt;0),0,IF(AND(C9&gt;0,(C9+C23)&lt;0),(C9+C23),IF(AND(C9&lt;0,C23&lt;0),C23,0)))</f>
        <v>-156789.0113019608</v>
      </c>
      <c r="D31" s="14" t="s">
        <v>3</v>
      </c>
      <c r="E31" s="1"/>
    </row>
    <row r="32" spans="1:5" x14ac:dyDescent="0.25">
      <c r="A32" s="1"/>
      <c r="B32" s="67" t="s">
        <v>50</v>
      </c>
      <c r="C32" s="9">
        <v>2</v>
      </c>
      <c r="D32" s="14" t="s">
        <v>20</v>
      </c>
      <c r="E32" s="1"/>
    </row>
    <row r="33" spans="1:5" x14ac:dyDescent="0.25">
      <c r="A33" s="1"/>
      <c r="B33" s="68" t="s">
        <v>71</v>
      </c>
      <c r="C33" s="57">
        <f>C31/C32</f>
        <v>-78394.505650980398</v>
      </c>
      <c r="D33" s="17" t="s">
        <v>3</v>
      </c>
      <c r="E33" s="1"/>
    </row>
    <row r="34" spans="1:5" x14ac:dyDescent="0.25">
      <c r="A34" s="1"/>
      <c r="B34" s="121"/>
      <c r="C34" s="122"/>
      <c r="D34" s="123"/>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A/bWwL8cw0fDlj+M4QHRu2zT9PmfI9nbbBPlgZkfzDk3lxyMO2Qa2CZBPLy/LSifdiK/BHN1c6zfxrhkVDVsvg==" saltValue="wADzYNTLLGOGbtouEyTUR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2" t="s">
        <v>102</v>
      </c>
      <c r="C3" s="112"/>
      <c r="D3" s="112"/>
      <c r="E3" s="1"/>
    </row>
    <row r="4" spans="1:5" ht="15" customHeight="1" x14ac:dyDescent="0.25">
      <c r="A4" s="1"/>
      <c r="B4" s="112"/>
      <c r="C4" s="112"/>
      <c r="D4" s="112"/>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113" t="s">
        <v>121</v>
      </c>
      <c r="C8" s="114"/>
      <c r="D8" s="115"/>
      <c r="E8" s="1"/>
    </row>
    <row r="9" spans="1:5" ht="15" customHeight="1" x14ac:dyDescent="0.25">
      <c r="A9" s="1"/>
      <c r="B9" s="127" t="s">
        <v>103</v>
      </c>
      <c r="C9" s="128"/>
      <c r="D9" s="129"/>
      <c r="E9" s="1"/>
    </row>
    <row r="10" spans="1:5" x14ac:dyDescent="0.25">
      <c r="A10" s="1"/>
      <c r="B10" s="69" t="s">
        <v>104</v>
      </c>
      <c r="C10" s="9">
        <v>0</v>
      </c>
      <c r="D10" s="9" t="s">
        <v>3</v>
      </c>
      <c r="E10" s="1"/>
    </row>
    <row r="11" spans="1:5" x14ac:dyDescent="0.25">
      <c r="A11" s="1"/>
      <c r="B11" s="69" t="s">
        <v>105</v>
      </c>
      <c r="C11" s="9">
        <v>0</v>
      </c>
      <c r="D11" s="9" t="s">
        <v>3</v>
      </c>
      <c r="E11" s="1"/>
    </row>
    <row r="12" spans="1:5" x14ac:dyDescent="0.25">
      <c r="A12" s="1"/>
      <c r="B12" s="69" t="s">
        <v>106</v>
      </c>
      <c r="C12" s="9">
        <v>0</v>
      </c>
      <c r="D12" s="9" t="s">
        <v>3</v>
      </c>
      <c r="E12" s="1"/>
    </row>
    <row r="13" spans="1:5" x14ac:dyDescent="0.25">
      <c r="A13" s="1"/>
      <c r="B13" s="69" t="s">
        <v>107</v>
      </c>
      <c r="C13" s="9">
        <v>0</v>
      </c>
      <c r="D13" s="9" t="s">
        <v>3</v>
      </c>
      <c r="E13" s="1"/>
    </row>
    <row r="14" spans="1:5" x14ac:dyDescent="0.25">
      <c r="A14" s="1"/>
      <c r="B14" s="69" t="s">
        <v>108</v>
      </c>
      <c r="C14" s="9">
        <v>0</v>
      </c>
      <c r="D14" s="9" t="s">
        <v>3</v>
      </c>
      <c r="E14" s="1"/>
    </row>
    <row r="15" spans="1:5" x14ac:dyDescent="0.25">
      <c r="A15" s="1"/>
      <c r="B15" s="69" t="s">
        <v>109</v>
      </c>
      <c r="C15" s="9">
        <v>0</v>
      </c>
      <c r="D15" s="9" t="s">
        <v>3</v>
      </c>
      <c r="E15" s="1"/>
    </row>
    <row r="16" spans="1:5" x14ac:dyDescent="0.25">
      <c r="A16" s="1"/>
      <c r="B16" s="69" t="s">
        <v>110</v>
      </c>
      <c r="C16" s="9">
        <v>0</v>
      </c>
      <c r="D16" s="9" t="s">
        <v>3</v>
      </c>
      <c r="E16" s="1"/>
    </row>
    <row r="17" spans="1:5" x14ac:dyDescent="0.25">
      <c r="A17" s="1"/>
      <c r="B17" s="69" t="s">
        <v>111</v>
      </c>
      <c r="C17" s="9">
        <v>0</v>
      </c>
      <c r="D17" s="9" t="s">
        <v>3</v>
      </c>
      <c r="E17" s="1"/>
    </row>
    <row r="18" spans="1:5" x14ac:dyDescent="0.25">
      <c r="A18" s="1"/>
      <c r="B18" s="77" t="s">
        <v>112</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emqx3W8KFFJh/i/Jq4xxOWbCOb7UIfwZb9yS3ZqC2Np6my4hcRDF6hqQqouv41MhaMnCefU+3FUTDz9HDT4Tw==" saltValue="feRkTqKqj8vXDHe/npDpZ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2" t="s">
        <v>171</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3" t="s">
        <v>172</v>
      </c>
      <c r="C8" s="114"/>
      <c r="D8" s="115"/>
      <c r="E8" s="1"/>
    </row>
    <row r="9" spans="1:5" ht="26.25" x14ac:dyDescent="0.25">
      <c r="A9" s="1"/>
      <c r="B9" s="80" t="s">
        <v>218</v>
      </c>
      <c r="C9" s="7">
        <v>0</v>
      </c>
      <c r="D9" s="8" t="s">
        <v>3</v>
      </c>
      <c r="E9" s="1"/>
    </row>
    <row r="10" spans="1:5" ht="14.25" customHeight="1" x14ac:dyDescent="0.25">
      <c r="A10" s="1"/>
      <c r="B10" s="66" t="s">
        <v>173</v>
      </c>
      <c r="C10" s="7">
        <v>0</v>
      </c>
      <c r="D10" s="8" t="s">
        <v>3</v>
      </c>
      <c r="E10" s="1"/>
    </row>
    <row r="11" spans="1:5" ht="14.25" customHeight="1" x14ac:dyDescent="0.25">
      <c r="A11" s="1"/>
      <c r="B11" s="83" t="s">
        <v>49</v>
      </c>
      <c r="C11" s="10">
        <f>C10-C9</f>
        <v>0</v>
      </c>
      <c r="D11" s="11" t="s">
        <v>3</v>
      </c>
      <c r="E11" s="1"/>
    </row>
    <row r="12" spans="1:5" ht="14.25" customHeight="1" x14ac:dyDescent="0.25">
      <c r="A12" s="1"/>
      <c r="B12" s="113" t="s">
        <v>220</v>
      </c>
      <c r="C12" s="114"/>
      <c r="D12" s="115"/>
      <c r="E12" s="1"/>
    </row>
    <row r="13" spans="1:5" ht="26.25" x14ac:dyDescent="0.25">
      <c r="A13" s="1"/>
      <c r="B13" s="80" t="s">
        <v>219</v>
      </c>
      <c r="C13" s="7">
        <v>0</v>
      </c>
      <c r="D13" s="8" t="s">
        <v>3</v>
      </c>
      <c r="E13" s="1"/>
    </row>
    <row r="14" spans="1:5" ht="14.25" customHeight="1" x14ac:dyDescent="0.25">
      <c r="A14" s="1"/>
      <c r="B14" s="66" t="s">
        <v>174</v>
      </c>
      <c r="C14" s="7">
        <v>0</v>
      </c>
      <c r="D14" s="8" t="s">
        <v>3</v>
      </c>
      <c r="E14" s="1"/>
    </row>
    <row r="15" spans="1:5" ht="14.25" customHeight="1" x14ac:dyDescent="0.25">
      <c r="A15" s="1"/>
      <c r="B15" s="83" t="s">
        <v>49</v>
      </c>
      <c r="C15" s="10">
        <f>C14-C13</f>
        <v>0</v>
      </c>
      <c r="D15" s="11" t="s">
        <v>3</v>
      </c>
      <c r="E15" s="1"/>
    </row>
    <row r="16" spans="1:5" ht="14.25" customHeight="1" x14ac:dyDescent="0.25">
      <c r="A16" s="1"/>
      <c r="B16" s="33" t="s">
        <v>175</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4qtobLjcS6hdDlpfOddnaDkDRJ5cjBYjTAUYpHszv8sGUZiW0K4qauhK9wbx7XDr+vZV3zIwaMrmO9cEDcf4KA==" saltValue="YFGO2xkQ/eo2PeZsAIClH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114</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87</v>
      </c>
      <c r="C8" s="114"/>
      <c r="D8" s="114"/>
      <c r="E8" s="114"/>
      <c r="F8" s="114"/>
      <c r="G8" s="114"/>
      <c r="H8" s="114"/>
      <c r="I8" s="114"/>
      <c r="J8" s="114"/>
      <c r="K8" s="115"/>
      <c r="L8" s="1"/>
    </row>
    <row r="9" spans="1:12" ht="39.75" customHeight="1" x14ac:dyDescent="0.25">
      <c r="A9" s="1"/>
      <c r="B9" s="18" t="s">
        <v>0</v>
      </c>
      <c r="C9" s="18" t="s">
        <v>1</v>
      </c>
      <c r="D9" s="130" t="s">
        <v>97</v>
      </c>
      <c r="E9" s="131"/>
      <c r="F9" s="130" t="s">
        <v>2</v>
      </c>
      <c r="G9" s="131"/>
      <c r="H9" s="130" t="s">
        <v>96</v>
      </c>
      <c r="I9" s="131"/>
      <c r="J9" s="130" t="s">
        <v>26</v>
      </c>
      <c r="K9" s="131"/>
      <c r="L9" s="1"/>
    </row>
    <row r="10" spans="1:12" x14ac:dyDescent="0.25">
      <c r="A10" s="1"/>
      <c r="B10" s="69" t="s">
        <v>225</v>
      </c>
      <c r="C10" s="42">
        <v>0</v>
      </c>
      <c r="D10" s="9">
        <v>0</v>
      </c>
      <c r="E10" s="14" t="s">
        <v>3</v>
      </c>
      <c r="F10" s="9">
        <f>IFERROR(D10/C10,0)</f>
        <v>0</v>
      </c>
      <c r="G10" s="14" t="s">
        <v>3</v>
      </c>
      <c r="H10" s="38">
        <v>0</v>
      </c>
      <c r="I10" s="14" t="s">
        <v>3</v>
      </c>
      <c r="J10" s="38">
        <v>0</v>
      </c>
      <c r="K10" s="14" t="s">
        <v>3</v>
      </c>
      <c r="L10" s="1"/>
    </row>
    <row r="11" spans="1:12" x14ac:dyDescent="0.25">
      <c r="A11" s="1"/>
      <c r="B11" s="77" t="s">
        <v>222</v>
      </c>
      <c r="C11" s="78"/>
      <c r="D11" s="79"/>
      <c r="E11" s="79"/>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WXtQ3Y2NkCeV2wqIJPOGS3Bywo5JJPhIICrPsZrbuOdqxq54tWALIVEQpsmRt5LKRxmvEOxfPTkhl1q1UwA6PQ==" saltValue="zMhnRveDGio2ml0Iut3lm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140</v>
      </c>
      <c r="C19" s="12">
        <f>SUM(C10:C18)</f>
        <v>0</v>
      </c>
      <c r="D19" s="13" t="s">
        <v>3</v>
      </c>
      <c r="E19" s="12">
        <f>SUM(E10:E18)</f>
        <v>0</v>
      </c>
      <c r="F19" s="13" t="s">
        <v>3</v>
      </c>
      <c r="G19" s="1"/>
    </row>
    <row r="20" spans="1:7" x14ac:dyDescent="0.25">
      <c r="A20" s="1"/>
      <c r="B20" s="33" t="s">
        <v>176</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byPXJa/5q2eWMh7HbpoLIOvsEic8gzccTmHpnbEpwlg8PoNewLxu8CkhxqRb4doA87aRzHuPFTXqW+0CVRxAw==" saltValue="ToKVkDaBmJJ3SCqhD7LP2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116</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177</v>
      </c>
      <c r="C8" s="114"/>
      <c r="D8" s="114"/>
      <c r="E8" s="114"/>
      <c r="F8" s="115"/>
      <c r="G8" s="1"/>
    </row>
    <row r="9" spans="1:7" x14ac:dyDescent="0.25">
      <c r="A9" s="1"/>
      <c r="B9" s="81" t="s">
        <v>17</v>
      </c>
      <c r="C9" s="83" t="s">
        <v>11</v>
      </c>
      <c r="D9" s="82"/>
      <c r="E9" s="83"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178</v>
      </c>
      <c r="C13" s="12">
        <f>SUM(C10:C12)</f>
        <v>0</v>
      </c>
      <c r="D13" s="13" t="s">
        <v>3</v>
      </c>
      <c r="E13" s="12">
        <f>SUM(E10:E12)</f>
        <v>0</v>
      </c>
      <c r="F13" s="13" t="s">
        <v>3</v>
      </c>
      <c r="G13" s="1"/>
    </row>
    <row r="14" spans="1:7" x14ac:dyDescent="0.25">
      <c r="A14" s="1"/>
      <c r="B14" s="33" t="s">
        <v>179</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32"/>
      <c r="C16" s="132"/>
      <c r="D16" s="132"/>
      <c r="E16" s="132"/>
      <c r="F16" s="132"/>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2"/>
      <c r="C29" s="132"/>
      <c r="D29" s="132"/>
      <c r="E29" s="132"/>
      <c r="F29" s="132"/>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KRNbnpZDgixTIPPUuRFf5bq81mJI0l1hBScxG8vi9O0/3sa1jiO7Jd1sAPG8RHOvU116RFsYnTwpGGF4ERCiA==" saltValue="U6A+fgxmgmvPzfR9Te9Jv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2" t="s">
        <v>117</v>
      </c>
      <c r="C3" s="112"/>
      <c r="D3" s="112"/>
      <c r="E3" s="1"/>
    </row>
    <row r="4" spans="1:5" ht="15" customHeight="1" x14ac:dyDescent="0.25">
      <c r="A4" s="1"/>
      <c r="B4" s="112"/>
      <c r="C4" s="112"/>
      <c r="D4" s="112"/>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ht="14.25" customHeight="1" x14ac:dyDescent="0.25">
      <c r="A8" s="1"/>
      <c r="B8" s="113" t="s">
        <v>74</v>
      </c>
      <c r="C8" s="114"/>
      <c r="D8" s="115"/>
      <c r="E8" s="1"/>
    </row>
    <row r="9" spans="1:5" x14ac:dyDescent="0.25">
      <c r="A9" s="1"/>
      <c r="B9" s="69" t="s">
        <v>180</v>
      </c>
      <c r="C9" s="9">
        <v>0</v>
      </c>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7" t="s">
        <v>75</v>
      </c>
      <c r="C12" s="12">
        <f>SUM(C9:C11)*(1+'Fane 15. Nøgletal'!C9)^2</f>
        <v>0</v>
      </c>
      <c r="D12" s="13" t="s">
        <v>3</v>
      </c>
      <c r="E12" s="1"/>
    </row>
    <row r="13" spans="1:5" x14ac:dyDescent="0.25">
      <c r="A13" s="1"/>
      <c r="B13" s="1"/>
      <c r="C13" s="1"/>
      <c r="D13" s="1"/>
      <c r="E13" s="1"/>
    </row>
    <row r="14" spans="1:5" ht="15" customHeight="1" x14ac:dyDescent="0.25">
      <c r="A14" s="1"/>
      <c r="B14" s="113" t="s">
        <v>85</v>
      </c>
      <c r="C14" s="114"/>
      <c r="D14" s="115"/>
      <c r="E14" s="1"/>
    </row>
    <row r="15" spans="1:5" x14ac:dyDescent="0.25">
      <c r="A15" s="1"/>
      <c r="B15" s="69" t="s">
        <v>180</v>
      </c>
      <c r="C15" s="9">
        <v>0</v>
      </c>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7" t="s">
        <v>86</v>
      </c>
      <c r="C18" s="12">
        <f>SUM(C15:C17)*(1+'Fane 15. Nøgletal'!C10)^3</f>
        <v>0</v>
      </c>
      <c r="D18" s="13" t="s">
        <v>3</v>
      </c>
      <c r="E18" s="1"/>
    </row>
    <row r="19" spans="1:5" x14ac:dyDescent="0.25">
      <c r="A19" s="1"/>
      <c r="B19" s="1"/>
      <c r="C19" s="1"/>
      <c r="D19" s="1"/>
      <c r="E19" s="1"/>
    </row>
    <row r="20" spans="1:5" ht="15" customHeight="1" x14ac:dyDescent="0.25">
      <c r="A20" s="1"/>
      <c r="B20" s="113" t="s">
        <v>141</v>
      </c>
      <c r="C20" s="114"/>
      <c r="D20" s="115"/>
      <c r="E20" s="1"/>
    </row>
    <row r="21" spans="1:5" x14ac:dyDescent="0.25">
      <c r="A21" s="1"/>
      <c r="B21" s="69" t="s">
        <v>180</v>
      </c>
      <c r="C21" s="9">
        <v>0</v>
      </c>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7" t="s">
        <v>142</v>
      </c>
      <c r="C24" s="12">
        <f>SUM(C21:C23)*(1+'Fane 15. Nøgletal'!C10)^4</f>
        <v>0</v>
      </c>
      <c r="D24" s="13" t="s">
        <v>3</v>
      </c>
      <c r="E24" s="1"/>
    </row>
    <row r="25" spans="1:5" x14ac:dyDescent="0.25">
      <c r="A25" s="1"/>
      <c r="B25" s="1"/>
      <c r="C25" s="1"/>
      <c r="D25" s="1"/>
      <c r="E25" s="1"/>
    </row>
    <row r="26" spans="1:5" ht="15" customHeight="1" x14ac:dyDescent="0.25">
      <c r="A26" s="1"/>
      <c r="B26" s="113" t="s">
        <v>181</v>
      </c>
      <c r="C26" s="114"/>
      <c r="D26" s="115"/>
      <c r="E26" s="1"/>
    </row>
    <row r="27" spans="1:5" ht="14.25" customHeight="1" x14ac:dyDescent="0.25">
      <c r="A27" s="1"/>
      <c r="B27" s="69" t="s">
        <v>180</v>
      </c>
      <c r="C27" s="9">
        <v>0</v>
      </c>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7" t="s">
        <v>182</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7exc8FqUVMZ4sMgzDTt/HPkQcTf/ZsMSDyBwwfoo4IEBoX+TNsVA/vBlEJh2Q8xj0/D5u2g3RMazEt1WFDTfA==" saltValue="nXNaWagc9s6PoubN8LKwn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118</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13" t="s">
        <v>67</v>
      </c>
      <c r="C8" s="114"/>
      <c r="D8" s="114"/>
      <c r="E8" s="114"/>
      <c r="F8" s="115"/>
      <c r="G8" s="1"/>
    </row>
    <row r="9" spans="1:7" ht="15" customHeight="1" x14ac:dyDescent="0.25">
      <c r="A9" s="1"/>
      <c r="B9" s="31" t="s">
        <v>68</v>
      </c>
      <c r="C9" s="27" t="s">
        <v>11</v>
      </c>
      <c r="D9" s="32"/>
      <c r="E9" s="27" t="s">
        <v>27</v>
      </c>
      <c r="F9" s="32"/>
      <c r="G9" s="1"/>
    </row>
    <row r="10" spans="1:7" ht="26.25" x14ac:dyDescent="0.25">
      <c r="A10" s="1"/>
      <c r="B10" s="71" t="s">
        <v>223</v>
      </c>
      <c r="C10" s="9">
        <v>0</v>
      </c>
      <c r="D10" s="14" t="s">
        <v>3</v>
      </c>
      <c r="E10" s="9">
        <v>0</v>
      </c>
      <c r="F10" s="14" t="s">
        <v>3</v>
      </c>
      <c r="G10" s="1"/>
    </row>
    <row r="11" spans="1:7" ht="28.5" customHeight="1" x14ac:dyDescent="0.25">
      <c r="A11" s="1"/>
      <c r="B11" s="20" t="s">
        <v>143</v>
      </c>
      <c r="C11" s="12">
        <f>SUM(C10:C10)</f>
        <v>0</v>
      </c>
      <c r="D11" s="13" t="s">
        <v>3</v>
      </c>
      <c r="E11" s="12">
        <f>SUM(E10:E10)</f>
        <v>0</v>
      </c>
      <c r="F11" s="13" t="s">
        <v>3</v>
      </c>
      <c r="G11" s="1"/>
    </row>
    <row r="12" spans="1:7" ht="27" customHeight="1" x14ac:dyDescent="0.25">
      <c r="A12" s="1"/>
      <c r="B12" s="20" t="s">
        <v>183</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vM1bX9KhlYziqHHIij8Re1ZvGYCe7O1kMgDnqBE4+lhWHCa4au2+p6qvPos45YAY+7JGUjLX95vbhbNtUpJi4A==" saltValue="xXT/X7Tk3GHEhhFE41tYp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119</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3" t="s">
        <v>184</v>
      </c>
      <c r="C8" s="114"/>
      <c r="D8" s="114"/>
      <c r="E8" s="114"/>
      <c r="F8" s="115"/>
      <c r="G8" s="1"/>
    </row>
    <row r="9" spans="1:7" x14ac:dyDescent="0.25">
      <c r="A9" s="1"/>
      <c r="B9" s="31" t="s">
        <v>18</v>
      </c>
      <c r="C9" s="133" t="s">
        <v>11</v>
      </c>
      <c r="D9" s="134"/>
      <c r="E9" s="133" t="s">
        <v>27</v>
      </c>
      <c r="F9" s="134"/>
      <c r="G9" s="1"/>
    </row>
    <row r="10" spans="1:7" x14ac:dyDescent="0.25">
      <c r="A10" s="1"/>
      <c r="B10" s="71" t="s">
        <v>224</v>
      </c>
      <c r="C10" s="9">
        <v>0</v>
      </c>
      <c r="D10" s="14" t="s">
        <v>3</v>
      </c>
      <c r="E10" s="9">
        <v>0</v>
      </c>
      <c r="F10" s="14" t="s">
        <v>3</v>
      </c>
      <c r="G10" s="1"/>
    </row>
    <row r="11" spans="1:7" x14ac:dyDescent="0.25">
      <c r="A11" s="1"/>
      <c r="B11" s="33" t="s">
        <v>144</v>
      </c>
      <c r="C11" s="12">
        <f>SUM(C10:C10)</f>
        <v>0</v>
      </c>
      <c r="D11" s="13" t="s">
        <v>3</v>
      </c>
      <c r="E11" s="12">
        <f>SUM(E10:E10)</f>
        <v>0</v>
      </c>
      <c r="F11" s="13" t="s">
        <v>3</v>
      </c>
      <c r="G11" s="1"/>
    </row>
    <row r="12" spans="1:7" x14ac:dyDescent="0.25">
      <c r="A12" s="1"/>
      <c r="B12" s="33" t="s">
        <v>217</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2"/>
      <c r="C14" s="132"/>
      <c r="D14" s="132"/>
      <c r="E14" s="132"/>
      <c r="F14" s="132"/>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2"/>
      <c r="C21" s="132"/>
      <c r="D21" s="132"/>
      <c r="E21" s="132"/>
      <c r="F21" s="132"/>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2"/>
      <c r="C27" s="132"/>
      <c r="D27" s="132"/>
      <c r="E27" s="132"/>
      <c r="F27" s="132"/>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AzDig3tCDB5ZO+nbhq8pQHiB0vxbA8sWfUYc2CHYD+dB2P6Ne1s7+sphmIvMJCB/jF3gdD8asdFyLS51Fm3iQ==" saltValue="rt7+ZkIwVzi7yUR3QVcIy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19204741.469284847</v>
      </c>
      <c r="D9" s="8" t="s">
        <v>3</v>
      </c>
      <c r="E9" s="1"/>
    </row>
    <row r="10" spans="1:5" ht="17.25" customHeight="1" x14ac:dyDescent="0.25">
      <c r="A10" s="1"/>
      <c r="B10" s="65" t="s">
        <v>35</v>
      </c>
      <c r="C10" s="7">
        <f>'Fane 11.1. Varige tillæg'!C20</f>
        <v>0</v>
      </c>
      <c r="D10" s="8" t="s">
        <v>3</v>
      </c>
      <c r="E10" s="1"/>
    </row>
    <row r="11" spans="1:5" ht="17.25" customHeight="1" x14ac:dyDescent="0.25">
      <c r="A11" s="1"/>
      <c r="B11" s="65" t="s">
        <v>36</v>
      </c>
      <c r="C11" s="9">
        <f>'Fane 11.1. Varige tillæg'!E20</f>
        <v>0</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1551743.1107182156</v>
      </c>
      <c r="D16" s="8" t="s">
        <v>3</v>
      </c>
      <c r="E16" s="1"/>
    </row>
    <row r="17" spans="1:5" ht="17.25" customHeight="1" x14ac:dyDescent="0.25">
      <c r="A17" s="1"/>
      <c r="B17" s="65" t="s">
        <v>10</v>
      </c>
      <c r="C17" s="38">
        <f>-SUM(C9,C10:C16)*'Fane 5. Individuelt eff. krav'!C9</f>
        <v>0</v>
      </c>
      <c r="D17" s="8" t="s">
        <v>3</v>
      </c>
      <c r="E17" s="1"/>
    </row>
    <row r="18" spans="1:5" ht="17.25" customHeight="1" x14ac:dyDescent="0.25">
      <c r="A18" s="1"/>
      <c r="B18" s="65" t="s">
        <v>22</v>
      </c>
      <c r="C18" s="38">
        <f>-'Fane 4.1. Gen. krav - drift'!C17</f>
        <v>-266747.7935257348</v>
      </c>
      <c r="D18" s="8" t="s">
        <v>3</v>
      </c>
      <c r="E18" s="1"/>
    </row>
    <row r="19" spans="1:5" ht="17.25" customHeight="1" x14ac:dyDescent="0.25">
      <c r="A19" s="1"/>
      <c r="B19" s="65" t="s">
        <v>23</v>
      </c>
      <c r="C19" s="38">
        <f>-'Fane 4.2. Gen. krav - anlæg'!C17</f>
        <v>0</v>
      </c>
      <c r="D19" s="8" t="s">
        <v>3</v>
      </c>
      <c r="E19" s="43"/>
    </row>
    <row r="20" spans="1:5" ht="17.25" customHeight="1" x14ac:dyDescent="0.25">
      <c r="A20" s="1"/>
      <c r="B20" s="83" t="s">
        <v>21</v>
      </c>
      <c r="C20" s="10">
        <f>SUM(C9:C19)</f>
        <v>20489736.786477331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1910736.0379889701</v>
      </c>
      <c r="D22" s="11" t="s">
        <v>3</v>
      </c>
      <c r="E22" s="1"/>
    </row>
    <row r="23" spans="1:5" ht="15" customHeight="1" x14ac:dyDescent="0.25">
      <c r="A23" s="1"/>
      <c r="B23" s="33" t="s">
        <v>43</v>
      </c>
      <c r="C23" s="28"/>
      <c r="D23" s="19"/>
      <c r="E23" s="1"/>
    </row>
    <row r="24" spans="1:5" ht="15" customHeight="1" x14ac:dyDescent="0.25">
      <c r="A24" s="1"/>
      <c r="B24" s="83"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0</v>
      </c>
      <c r="D26" s="8" t="s">
        <v>3</v>
      </c>
      <c r="E26" s="1"/>
    </row>
    <row r="27" spans="1:5" ht="15" customHeight="1" x14ac:dyDescent="0.25">
      <c r="A27" s="1"/>
      <c r="B27" s="65" t="s">
        <v>39</v>
      </c>
      <c r="C27" s="38">
        <f>'Fane 11.2. Engangstillæg'!E14</f>
        <v>0</v>
      </c>
      <c r="D27" s="8" t="s">
        <v>3</v>
      </c>
      <c r="E27" s="1"/>
    </row>
    <row r="28" spans="1:5" ht="15" customHeight="1" x14ac:dyDescent="0.25">
      <c r="A28" s="1"/>
      <c r="B28" s="65" t="s">
        <v>93</v>
      </c>
      <c r="C28" s="38">
        <f>-C26*('Fane 15. Nøgletal'!C21+'Fane 5. Individuelt eff. krav'!C9)</f>
        <v>0</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0</v>
      </c>
      <c r="D30" s="11" t="s">
        <v>3</v>
      </c>
      <c r="E30" s="1"/>
    </row>
    <row r="31" spans="1:5" x14ac:dyDescent="0.25">
      <c r="A31" s="1"/>
      <c r="B31" s="33" t="s">
        <v>70</v>
      </c>
      <c r="C31" s="28"/>
      <c r="D31" s="19"/>
      <c r="E31" s="1"/>
    </row>
    <row r="32" spans="1:5" x14ac:dyDescent="0.25">
      <c r="A32" s="1"/>
      <c r="B32" s="31" t="s">
        <v>80</v>
      </c>
      <c r="C32" s="62">
        <f>'Fane 7. Kontrol af ØR2023'!C27</f>
        <v>-385943.33041974902</v>
      </c>
      <c r="D32" s="11" t="s">
        <v>3</v>
      </c>
      <c r="E32" s="1"/>
    </row>
    <row r="33" spans="1:5" ht="15" customHeight="1" x14ac:dyDescent="0.25">
      <c r="A33" s="1"/>
      <c r="B33" s="33" t="s">
        <v>155</v>
      </c>
      <c r="C33" s="28"/>
      <c r="D33" s="19"/>
      <c r="E33" s="1"/>
    </row>
    <row r="34" spans="1:5" x14ac:dyDescent="0.25">
      <c r="A34" s="1"/>
      <c r="B34" s="31" t="s">
        <v>155</v>
      </c>
      <c r="C34" s="10">
        <f>'Fane 9. Korrektion af ØR2023'!C16</f>
        <v>0</v>
      </c>
      <c r="D34" s="11" t="s">
        <v>3</v>
      </c>
      <c r="E34" s="1"/>
    </row>
    <row r="35" spans="1:5" x14ac:dyDescent="0.25">
      <c r="A35" s="1"/>
      <c r="B35" s="30" t="s">
        <v>76</v>
      </c>
      <c r="C35" s="28"/>
      <c r="D35" s="19"/>
      <c r="E35" s="1"/>
    </row>
    <row r="36" spans="1:5" x14ac:dyDescent="0.25">
      <c r="A36" s="1"/>
      <c r="B36" s="68" t="s">
        <v>77</v>
      </c>
      <c r="C36" s="10">
        <f>'Fane 8. Skattesagen'!C14</f>
        <v>0</v>
      </c>
      <c r="D36" s="11" t="s">
        <v>3</v>
      </c>
      <c r="E36" s="1"/>
    </row>
    <row r="37" spans="1:5" x14ac:dyDescent="0.25">
      <c r="A37" s="1"/>
      <c r="B37" s="33" t="s">
        <v>72</v>
      </c>
      <c r="C37" s="45">
        <f>SUM(C34,C32,C24,C30,C22,C20,C36)</f>
        <v>22014529.494046554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aF7lEvzIqa5d7LFyArud4tmmKHhHcqMobM1pCgGQoUlpZbkU+l0kR6b377+FRMgqQV8O8gy3TUZa2c/F57xRw==" saltValue="4ydsoJMuuEFSXs7ZoPrho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2" t="s">
        <v>120</v>
      </c>
      <c r="C3" s="112"/>
      <c r="D3" s="1"/>
    </row>
    <row r="4" spans="1:4" ht="15" customHeight="1" x14ac:dyDescent="0.25">
      <c r="A4" s="1"/>
      <c r="B4" s="112"/>
      <c r="C4" s="112"/>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123</v>
      </c>
      <c r="C9" s="61">
        <v>8.0799999999999997E-2</v>
      </c>
      <c r="D9" s="1"/>
    </row>
    <row r="10" spans="1:4" x14ac:dyDescent="0.25">
      <c r="A10" s="1"/>
      <c r="B10" s="59" t="s">
        <v>229</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216</v>
      </c>
      <c r="C15" s="60">
        <v>0</v>
      </c>
      <c r="D15" s="1"/>
    </row>
    <row r="16" spans="1:4" x14ac:dyDescent="0.25">
      <c r="A16" s="1"/>
      <c r="B16" s="59" t="s">
        <v>230</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IrFTh64HT1Q2TXCiVHJnl5Q92g4AeVhJuXPsqaeXEu5Ia1fdOuHDJX1sxuubgku3jM1vbwrEwAUd1H6BCYVQjQ==" saltValue="0W44r/jCRep2pvopj0l12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20489736.786477331</v>
      </c>
      <c r="D9" s="8" t="s">
        <v>3</v>
      </c>
      <c r="E9" s="1"/>
    </row>
    <row r="10" spans="1:5" ht="15" customHeight="1" x14ac:dyDescent="0.25">
      <c r="A10" s="1"/>
      <c r="B10" s="26" t="s">
        <v>19</v>
      </c>
      <c r="C10" s="7">
        <f>C9*'Fane 15. Nøgletal'!C10</f>
        <v>1358469.5489434469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-278744.50879176118</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21569461.82662902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2037417.8373076387</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-78394.505650980398</v>
      </c>
      <c r="D20" s="11" t="s">
        <v>3</v>
      </c>
      <c r="E20" s="1"/>
    </row>
    <row r="21" spans="1:5" x14ac:dyDescent="0.25">
      <c r="A21" s="1"/>
      <c r="B21" s="30" t="s">
        <v>76</v>
      </c>
      <c r="C21" s="28"/>
      <c r="D21" s="19"/>
      <c r="E21" s="1"/>
    </row>
    <row r="22" spans="1:5" x14ac:dyDescent="0.25">
      <c r="A22" s="1"/>
      <c r="B22" s="68" t="s">
        <v>77</v>
      </c>
      <c r="C22" s="10">
        <f>'Fane 8. Skattesagen'!C15</f>
        <v>0</v>
      </c>
      <c r="D22" s="11" t="s">
        <v>3</v>
      </c>
      <c r="E22" s="1"/>
    </row>
    <row r="23" spans="1:5" x14ac:dyDescent="0.25">
      <c r="A23" s="1"/>
      <c r="B23" s="33" t="s">
        <v>82</v>
      </c>
      <c r="C23" s="12">
        <f>SUM(C14,C16,C18,C20,C22)</f>
        <v>23528485.158285677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nxuwefAqDQoNo2Su73TQLsaxA3AXZ2DJu501nGGQrFu9yjwKlRKAyjqPzVY3sSZi17NuHBSZCQ0thcHwMpLCg==" saltValue="5s6kUz0oxI+bUwFQ29wZO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130</v>
      </c>
      <c r="C9" s="7">
        <f>'Fane 2.2. Økonomisk ramme 2026'!C14</f>
        <v>21569461.82662902</v>
      </c>
      <c r="D9" s="8" t="s">
        <v>3</v>
      </c>
      <c r="E9" s="1"/>
    </row>
    <row r="10" spans="1:5" ht="15" customHeight="1" x14ac:dyDescent="0.25">
      <c r="A10" s="1"/>
      <c r="B10" s="26" t="s">
        <v>19</v>
      </c>
      <c r="C10" s="7">
        <f>SUM(C9:C9)*'Fane 15. Nøgletal'!C10</f>
        <v>1430055.3191055041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-291280.76433016185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22708236.381404363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2172498.6399211353</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-78394.505650980398</v>
      </c>
      <c r="D20" s="11" t="s">
        <v>3</v>
      </c>
      <c r="E20" s="1"/>
    </row>
    <row r="21" spans="1:5" x14ac:dyDescent="0.25">
      <c r="A21" s="1"/>
      <c r="B21" s="30" t="s">
        <v>76</v>
      </c>
      <c r="C21" s="28"/>
      <c r="D21" s="19"/>
      <c r="E21" s="1"/>
    </row>
    <row r="22" spans="1:5" x14ac:dyDescent="0.25">
      <c r="A22" s="1"/>
      <c r="B22" s="68" t="s">
        <v>77</v>
      </c>
      <c r="C22" s="10">
        <f>'Fane 8. Skattesagen'!C16</f>
        <v>0</v>
      </c>
      <c r="D22" s="11" t="s">
        <v>3</v>
      </c>
      <c r="E22" s="1"/>
    </row>
    <row r="23" spans="1:5" x14ac:dyDescent="0.25">
      <c r="A23" s="1"/>
      <c r="B23" s="33" t="s">
        <v>131</v>
      </c>
      <c r="C23" s="12">
        <f>SUM(C14,C16,C18,C20,C22)</f>
        <v>24802340.515674517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mJgfKD7XBDKkv9oDEb1UegdFc2rdYBh4YsOGCwwBcBGicTAWxpEs2fhQLnp6QZ9SVjE3nJPID1Z+pcbmk+9tw==" saltValue="lDPRX0f3KAQyWtXHL4qel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159</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160</v>
      </c>
      <c r="C9" s="7">
        <f>'Fane 2.3. Økonomisk ramme 2027'!C14</f>
        <v>22708236.381404363</v>
      </c>
      <c r="D9" s="8" t="s">
        <v>3</v>
      </c>
      <c r="E9" s="1"/>
    </row>
    <row r="10" spans="1:5" ht="15" customHeight="1" x14ac:dyDescent="0.25">
      <c r="A10" s="1"/>
      <c r="B10" s="26" t="s">
        <v>19</v>
      </c>
      <c r="C10" s="7">
        <f>SUM(C9:C9)*'Fane 15. Nøgletal'!C10</f>
        <v>1505556.0720871091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-304380.82542514656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23909411.628066324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2316535.2997479066</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Skattesagen'!C17</f>
        <v>0</v>
      </c>
      <c r="D20" s="11" t="s">
        <v>3</v>
      </c>
      <c r="E20" s="1"/>
    </row>
    <row r="21" spans="1:5" x14ac:dyDescent="0.25">
      <c r="A21" s="1"/>
      <c r="B21" s="33" t="s">
        <v>161</v>
      </c>
      <c r="C21" s="12">
        <f>SUM(C14,C16,C18,C20)</f>
        <v>26225946.92781423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7N1J4KjA1kflb7BCGxW9/V+7ReiTKGRHl7QLvvf/v+Zj3ZlDZ9aQwinxngo5wpNH5XNupGvrWA1pZUpPv0WZA==" saltValue="1arR97sXJgkGl+Ndjfz5u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2" t="s">
        <v>162</v>
      </c>
      <c r="C3" s="112"/>
      <c r="D3" s="112"/>
      <c r="E3" s="1"/>
    </row>
    <row r="4" spans="1:5" ht="15" customHeight="1" x14ac:dyDescent="0.25">
      <c r="A4" s="1"/>
      <c r="B4" s="112"/>
      <c r="C4" s="112"/>
      <c r="D4" s="112"/>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163</v>
      </c>
      <c r="C8" s="28"/>
      <c r="D8" s="19"/>
      <c r="E8" s="1"/>
    </row>
    <row r="9" spans="1:5" ht="15" customHeight="1" x14ac:dyDescent="0.25">
      <c r="A9" s="1"/>
      <c r="B9" s="29" t="s">
        <v>65</v>
      </c>
      <c r="C9" s="7">
        <v>18002020.912739314</v>
      </c>
      <c r="D9" s="8" t="s">
        <v>3</v>
      </c>
      <c r="E9" s="1"/>
    </row>
    <row r="10" spans="1:5" ht="15" customHeight="1" x14ac:dyDescent="0.25">
      <c r="A10" s="1"/>
      <c r="B10" s="65" t="s">
        <v>35</v>
      </c>
      <c r="C10" s="63">
        <v>0</v>
      </c>
      <c r="D10" s="8" t="s">
        <v>3</v>
      </c>
      <c r="E10" s="1"/>
    </row>
    <row r="11" spans="1:5" ht="15" customHeight="1" x14ac:dyDescent="0.25">
      <c r="A11" s="1"/>
      <c r="B11" s="65" t="s">
        <v>36</v>
      </c>
      <c r="C11" s="63">
        <v>0</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0</v>
      </c>
      <c r="D14" s="8" t="s">
        <v>3</v>
      </c>
      <c r="E14" s="1"/>
    </row>
    <row r="15" spans="1:5" ht="15" customHeight="1" x14ac:dyDescent="0.25">
      <c r="A15" s="1"/>
      <c r="B15" s="65" t="s">
        <v>64</v>
      </c>
      <c r="C15" s="9">
        <v>0</v>
      </c>
      <c r="D15" s="8" t="s">
        <v>3</v>
      </c>
      <c r="E15" s="1"/>
    </row>
    <row r="16" spans="1:5" ht="15" customHeight="1" x14ac:dyDescent="0.25">
      <c r="A16" s="1"/>
      <c r="B16" s="65" t="s">
        <v>19</v>
      </c>
      <c r="C16" s="9">
        <v>1454563.2897493364</v>
      </c>
      <c r="D16" s="8" t="s">
        <v>3</v>
      </c>
      <c r="E16" s="1"/>
    </row>
    <row r="17" spans="1:5" ht="15" customHeight="1" x14ac:dyDescent="0.25">
      <c r="A17" s="1"/>
      <c r="B17" s="65" t="s">
        <v>10</v>
      </c>
      <c r="C17" s="9">
        <v>0</v>
      </c>
      <c r="D17" s="8" t="s">
        <v>3</v>
      </c>
      <c r="E17" s="1"/>
    </row>
    <row r="18" spans="1:5" ht="15" customHeight="1" x14ac:dyDescent="0.25">
      <c r="A18" s="1"/>
      <c r="B18" s="65" t="s">
        <v>22</v>
      </c>
      <c r="C18" s="9">
        <v>-251842.73320380101</v>
      </c>
      <c r="D18" s="8" t="s">
        <v>3</v>
      </c>
      <c r="E18" s="43"/>
    </row>
    <row r="19" spans="1:5" ht="15" customHeight="1" x14ac:dyDescent="0.25">
      <c r="A19" s="1"/>
      <c r="B19" s="65" t="s">
        <v>23</v>
      </c>
      <c r="C19" s="9">
        <v>0</v>
      </c>
      <c r="D19" s="8" t="s">
        <v>3</v>
      </c>
      <c r="E19" s="1"/>
    </row>
    <row r="20" spans="1:5" ht="15" customHeight="1" x14ac:dyDescent="0.25">
      <c r="A20" s="1"/>
      <c r="B20" s="83" t="s">
        <v>21</v>
      </c>
      <c r="C20" s="10">
        <v>19204741.469284847</v>
      </c>
      <c r="D20" s="11" t="s">
        <v>3</v>
      </c>
      <c r="E20" s="1"/>
    </row>
    <row r="21" spans="1:5" ht="15" customHeight="1" x14ac:dyDescent="0.25">
      <c r="A21" s="1"/>
      <c r="B21" s="33" t="s">
        <v>12</v>
      </c>
      <c r="C21" s="28"/>
      <c r="D21" s="19"/>
      <c r="E21" s="1"/>
    </row>
    <row r="22" spans="1:5" ht="15" customHeight="1" x14ac:dyDescent="0.25">
      <c r="A22" s="1"/>
      <c r="B22" s="31" t="s">
        <v>12</v>
      </c>
      <c r="C22" s="10">
        <v>1230651.5573273599</v>
      </c>
      <c r="D22" s="11" t="s">
        <v>3</v>
      </c>
      <c r="E22" s="1"/>
    </row>
    <row r="23" spans="1:5" ht="15" customHeight="1" x14ac:dyDescent="0.25">
      <c r="A23" s="1"/>
      <c r="B23" s="33" t="s">
        <v>43</v>
      </c>
      <c r="C23" s="28"/>
      <c r="D23" s="19"/>
      <c r="E23" s="1"/>
    </row>
    <row r="24" spans="1:5" ht="15" customHeight="1" x14ac:dyDescent="0.25">
      <c r="A24" s="1"/>
      <c r="B24" s="83" t="s">
        <v>43</v>
      </c>
      <c r="C24" s="10">
        <v>0</v>
      </c>
      <c r="D24" s="11" t="s">
        <v>3</v>
      </c>
      <c r="E24" s="1"/>
    </row>
    <row r="25" spans="1:5" x14ac:dyDescent="0.25">
      <c r="A25" s="1"/>
      <c r="B25" s="33" t="s">
        <v>42</v>
      </c>
      <c r="C25" s="28"/>
      <c r="D25" s="19"/>
      <c r="E25" s="1"/>
    </row>
    <row r="26" spans="1:5" ht="15" customHeight="1" x14ac:dyDescent="0.25">
      <c r="A26" s="1"/>
      <c r="B26" s="65" t="s">
        <v>38</v>
      </c>
      <c r="C26" s="9">
        <v>122228.30837504</v>
      </c>
      <c r="D26" s="8" t="s">
        <v>3</v>
      </c>
      <c r="E26" s="1"/>
    </row>
    <row r="27" spans="1:5" ht="15" customHeight="1" x14ac:dyDescent="0.25">
      <c r="A27" s="1"/>
      <c r="B27" s="65" t="s">
        <v>39</v>
      </c>
      <c r="C27" s="9">
        <v>0</v>
      </c>
      <c r="D27" s="8" t="s">
        <v>3</v>
      </c>
      <c r="E27" s="1"/>
    </row>
    <row r="28" spans="1:5" ht="15" customHeight="1" x14ac:dyDescent="0.25">
      <c r="A28" s="1"/>
      <c r="B28" s="65" t="s">
        <v>226</v>
      </c>
      <c r="C28" s="9">
        <v>-2444.5661675008</v>
      </c>
      <c r="D28" s="8" t="s">
        <v>3</v>
      </c>
      <c r="E28" s="1"/>
    </row>
    <row r="29" spans="1:5" ht="15" customHeight="1" x14ac:dyDescent="0.25">
      <c r="A29" s="1"/>
      <c r="B29" s="72" t="s">
        <v>227</v>
      </c>
      <c r="C29" s="9">
        <v>0</v>
      </c>
      <c r="D29" s="8" t="s">
        <v>3</v>
      </c>
      <c r="E29" s="1"/>
    </row>
    <row r="30" spans="1:5" ht="15" customHeight="1" x14ac:dyDescent="0.25">
      <c r="A30" s="1"/>
      <c r="B30" s="83" t="s">
        <v>44</v>
      </c>
      <c r="C30" s="10">
        <v>119783.7422075392</v>
      </c>
      <c r="D30" s="11" t="s">
        <v>3</v>
      </c>
      <c r="E30" s="1"/>
    </row>
    <row r="31" spans="1:5" ht="15" customHeight="1" x14ac:dyDescent="0.25">
      <c r="A31" s="1"/>
      <c r="B31" s="33" t="s">
        <v>129</v>
      </c>
      <c r="C31" s="28"/>
      <c r="D31" s="19"/>
      <c r="E31" s="1"/>
    </row>
    <row r="32" spans="1:5" ht="15" customHeight="1" x14ac:dyDescent="0.25">
      <c r="A32" s="1"/>
      <c r="B32" s="31" t="s">
        <v>129</v>
      </c>
      <c r="C32" s="10">
        <v>0</v>
      </c>
      <c r="D32" s="11" t="s">
        <v>3</v>
      </c>
      <c r="E32" s="1"/>
    </row>
    <row r="33" spans="1:5" x14ac:dyDescent="0.25">
      <c r="A33" s="1"/>
      <c r="B33" s="33" t="s">
        <v>70</v>
      </c>
      <c r="C33" s="28"/>
      <c r="D33" s="19"/>
      <c r="E33" s="1"/>
    </row>
    <row r="34" spans="1:5" ht="15.4" customHeight="1" x14ac:dyDescent="0.25">
      <c r="A34" s="1"/>
      <c r="B34" s="31" t="s">
        <v>80</v>
      </c>
      <c r="C34" s="10">
        <v>-385943.33041974902</v>
      </c>
      <c r="D34" s="11" t="s">
        <v>3</v>
      </c>
      <c r="E34" s="1"/>
    </row>
    <row r="35" spans="1:5" ht="15.4" customHeight="1" x14ac:dyDescent="0.25">
      <c r="A35" s="1"/>
      <c r="B35" s="109" t="s">
        <v>76</v>
      </c>
      <c r="C35" s="110"/>
      <c r="D35" s="111"/>
      <c r="E35" s="1"/>
    </row>
    <row r="36" spans="1:5" x14ac:dyDescent="0.25">
      <c r="A36" s="1"/>
      <c r="B36" s="68" t="s">
        <v>77</v>
      </c>
      <c r="C36" s="10">
        <v>0</v>
      </c>
      <c r="D36" s="11" t="s">
        <v>3</v>
      </c>
      <c r="E36" s="1"/>
    </row>
    <row r="37" spans="1:5" x14ac:dyDescent="0.25">
      <c r="A37" s="1"/>
      <c r="B37" s="30" t="s">
        <v>214</v>
      </c>
      <c r="C37" s="28"/>
      <c r="D37" s="19"/>
      <c r="E37" s="1"/>
    </row>
    <row r="38" spans="1:5" x14ac:dyDescent="0.25">
      <c r="A38" s="1"/>
      <c r="B38" s="68" t="s">
        <v>215</v>
      </c>
      <c r="C38" s="10">
        <v>1125940.9027918354</v>
      </c>
      <c r="D38" s="11" t="s">
        <v>3</v>
      </c>
      <c r="E38" s="1"/>
    </row>
    <row r="39" spans="1:5" x14ac:dyDescent="0.25">
      <c r="A39" s="1"/>
      <c r="B39" s="33" t="s">
        <v>66</v>
      </c>
      <c r="C39" s="12">
        <v>21295174.341191832</v>
      </c>
      <c r="D39" s="13" t="s">
        <v>3</v>
      </c>
      <c r="E39" s="1"/>
    </row>
    <row r="40" spans="1:5" ht="30" customHeight="1" x14ac:dyDescent="0.25">
      <c r="A40" s="1"/>
      <c r="B40" s="108" t="s">
        <v>228</v>
      </c>
      <c r="C40" s="108"/>
      <c r="D40" s="108"/>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t="15" hidden="1" customHeight="1" x14ac:dyDescent="0.25">
      <c r="A49" s="44"/>
      <c r="B49" s="44"/>
      <c r="C49" s="44"/>
      <c r="D49" s="44"/>
      <c r="E49" s="44"/>
    </row>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DwTe6HKa7IhD032CuHQ/WhrweMAbPA1deKzfjDi3nHRaM3tOpxmU55AtX4V08/Iwf+B0khL9HY/tNMVYQXm0DQ==" saltValue="ifwEsKlViGEPYOo8pK3PJA==" spinCount="100000" sheet="1" objects="1" scenarios="1"/>
  <mergeCells count="3">
    <mergeCell ref="B40:D40"/>
    <mergeCell ref="B35:D35"/>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25">
      <c r="A6" s="1"/>
      <c r="B6" s="76"/>
      <c r="C6" s="76"/>
      <c r="D6" s="76"/>
      <c r="E6" s="1"/>
    </row>
    <row r="7" spans="1:5" x14ac:dyDescent="0.25">
      <c r="A7" s="1"/>
      <c r="B7" s="1"/>
      <c r="C7" s="1"/>
      <c r="D7" s="1"/>
      <c r="E7" s="1"/>
    </row>
    <row r="8" spans="1:5" x14ac:dyDescent="0.25">
      <c r="A8" s="1"/>
      <c r="B8" s="113" t="s">
        <v>124</v>
      </c>
      <c r="C8" s="114"/>
      <c r="D8" s="115"/>
      <c r="E8" s="1"/>
    </row>
    <row r="9" spans="1:5" x14ac:dyDescent="0.25">
      <c r="A9" s="1"/>
      <c r="B9" s="66" t="s">
        <v>89</v>
      </c>
      <c r="C9" s="23">
        <v>12592136.66019005</v>
      </c>
      <c r="D9" s="14" t="s">
        <v>3</v>
      </c>
      <c r="E9" s="1"/>
    </row>
    <row r="10" spans="1:5" x14ac:dyDescent="0.25">
      <c r="A10" s="1"/>
      <c r="B10" s="66" t="s">
        <v>126</v>
      </c>
      <c r="C10" s="84">
        <f>('Fane 3. Omkostninger i ØR2024'!C10+'Fane 3. Omkostninger i ØR2024'!C12+'Fane 3. Omkostninger i ØR2024'!C14)*(1+'Fane 15. Nøgletal'!C9)</f>
        <v>0</v>
      </c>
      <c r="D10" s="14" t="s">
        <v>3</v>
      </c>
      <c r="E10" s="1"/>
    </row>
    <row r="11" spans="1:5" x14ac:dyDescent="0.25">
      <c r="A11" s="1"/>
      <c r="B11" s="66" t="s">
        <v>132</v>
      </c>
      <c r="C11" s="23">
        <f>C9*'Fane 15. Nøgletal'!C21+C10*'Fane 15. Nøgletal'!C21</f>
        <v>251842.73320380101</v>
      </c>
      <c r="D11" s="14" t="s">
        <v>3</v>
      </c>
      <c r="E11" s="1"/>
    </row>
    <row r="12" spans="1:5" x14ac:dyDescent="0.25">
      <c r="A12" s="1"/>
      <c r="B12" s="33"/>
      <c r="C12" s="28"/>
      <c r="D12" s="19"/>
      <c r="E12" s="1"/>
    </row>
    <row r="13" spans="1:5" x14ac:dyDescent="0.25">
      <c r="A13" s="1"/>
      <c r="B13" s="1"/>
      <c r="C13" s="1"/>
      <c r="D13" s="1"/>
      <c r="E13" s="1"/>
    </row>
    <row r="14" spans="1:5" x14ac:dyDescent="0.25">
      <c r="A14" s="1"/>
      <c r="B14" s="113" t="s">
        <v>125</v>
      </c>
      <c r="C14" s="114"/>
      <c r="D14" s="115"/>
      <c r="E14" s="1"/>
    </row>
    <row r="15" spans="1:5" x14ac:dyDescent="0.25">
      <c r="A15" s="1"/>
      <c r="B15" s="66" t="s">
        <v>134</v>
      </c>
      <c r="C15" s="23">
        <f>(C9+C10-C11)*(1+'Fane 15. Nøgletal'!C9)</f>
        <v>13337389.676286738</v>
      </c>
      <c r="D15" s="14" t="s">
        <v>3</v>
      </c>
      <c r="E15" s="1"/>
    </row>
    <row r="16" spans="1:5" x14ac:dyDescent="0.25">
      <c r="A16" s="1"/>
      <c r="B16" s="66" t="s">
        <v>185</v>
      </c>
      <c r="C16" s="84">
        <f>('Fane 2.1. Økonomisk ramme 2025'!C10+'Fane 2.1. Økonomisk ramme 2025'!C12+'Fane 2.1. Økonomisk ramme 2025'!C14)*(1+'Fane 15. Nøgletal'!C10)</f>
        <v>0</v>
      </c>
      <c r="D16" s="14" t="s">
        <v>3</v>
      </c>
      <c r="E16" s="1"/>
    </row>
    <row r="17" spans="1:5" x14ac:dyDescent="0.25">
      <c r="A17" s="1"/>
      <c r="B17" s="66" t="s">
        <v>133</v>
      </c>
      <c r="C17" s="23">
        <f>C15*'Fane 15. Nøgletal'!C21+C16*'Fane 15. Nøgletal'!C21</f>
        <v>266747.7935257348</v>
      </c>
      <c r="D17" s="14" t="s">
        <v>3</v>
      </c>
      <c r="E17" s="1"/>
    </row>
    <row r="18" spans="1:5" x14ac:dyDescent="0.25">
      <c r="A18" s="1"/>
      <c r="B18" s="33"/>
      <c r="C18" s="28"/>
      <c r="D18" s="19"/>
      <c r="E18" s="1"/>
    </row>
    <row r="19" spans="1:5" x14ac:dyDescent="0.25">
      <c r="A19" s="1"/>
      <c r="B19" s="1"/>
      <c r="C19" s="64"/>
      <c r="D19" s="1"/>
      <c r="E19" s="1"/>
    </row>
    <row r="20" spans="1:5" x14ac:dyDescent="0.25">
      <c r="A20" s="1"/>
      <c r="B20" s="113" t="s">
        <v>146</v>
      </c>
      <c r="C20" s="114"/>
      <c r="D20" s="115"/>
      <c r="E20" s="1"/>
    </row>
    <row r="21" spans="1:5" x14ac:dyDescent="0.25">
      <c r="A21" s="1"/>
      <c r="B21" s="66" t="s">
        <v>190</v>
      </c>
      <c r="C21" s="23">
        <f>(C15+C16-C17)*(1+'Fane 15. Nøgletal'!C10)</f>
        <v>13937225.439588059</v>
      </c>
      <c r="D21" s="14" t="s">
        <v>3</v>
      </c>
      <c r="E21" s="1"/>
    </row>
    <row r="22" spans="1:5" x14ac:dyDescent="0.25">
      <c r="A22" s="1"/>
      <c r="B22" s="66" t="s">
        <v>197</v>
      </c>
      <c r="C22" s="23">
        <f>C21*'Fane 15. Nøgletal'!C21</f>
        <v>278744.50879176118</v>
      </c>
      <c r="D22" s="14" t="s">
        <v>3</v>
      </c>
      <c r="E22" s="1"/>
    </row>
    <row r="23" spans="1:5" x14ac:dyDescent="0.25">
      <c r="A23" s="1"/>
      <c r="B23" s="33"/>
      <c r="C23" s="28"/>
      <c r="D23" s="19"/>
      <c r="E23" s="1"/>
    </row>
    <row r="24" spans="1:5" x14ac:dyDescent="0.25">
      <c r="A24" s="1"/>
      <c r="B24" s="1"/>
      <c r="C24" s="1"/>
      <c r="D24" s="1"/>
      <c r="E24" s="1"/>
    </row>
    <row r="25" spans="1:5" x14ac:dyDescent="0.25">
      <c r="A25" s="1"/>
      <c r="B25" s="113" t="s">
        <v>188</v>
      </c>
      <c r="C25" s="114"/>
      <c r="D25" s="115"/>
      <c r="E25" s="1"/>
    </row>
    <row r="26" spans="1:5" x14ac:dyDescent="0.25">
      <c r="A26" s="1"/>
      <c r="B26" s="66" t="s">
        <v>191</v>
      </c>
      <c r="C26" s="23">
        <f>(C21-C22)*(1+'Fane 15. Nøgletal'!C10)</f>
        <v>14564038.216508092</v>
      </c>
      <c r="D26" s="14" t="s">
        <v>3</v>
      </c>
      <c r="E26" s="1"/>
    </row>
    <row r="27" spans="1:5" x14ac:dyDescent="0.25">
      <c r="A27" s="1"/>
      <c r="B27" s="66" t="s">
        <v>195</v>
      </c>
      <c r="C27" s="23">
        <f>C26*'Fane 15. Nøgletal'!C21</f>
        <v>291280.76433016185</v>
      </c>
      <c r="D27" s="14" t="s">
        <v>3</v>
      </c>
      <c r="E27" s="1"/>
    </row>
    <row r="28" spans="1:5" x14ac:dyDescent="0.25">
      <c r="A28" s="1"/>
      <c r="B28" s="33"/>
      <c r="C28" s="28"/>
      <c r="D28" s="19"/>
      <c r="E28" s="1"/>
    </row>
    <row r="29" spans="1:5" x14ac:dyDescent="0.25">
      <c r="A29" s="1"/>
      <c r="B29" s="1"/>
      <c r="C29" s="1"/>
      <c r="D29" s="1"/>
      <c r="E29" s="1"/>
    </row>
    <row r="30" spans="1:5" x14ac:dyDescent="0.25">
      <c r="A30" s="1"/>
      <c r="B30" s="113" t="s">
        <v>189</v>
      </c>
      <c r="C30" s="114"/>
      <c r="D30" s="115"/>
      <c r="E30" s="1"/>
    </row>
    <row r="31" spans="1:5" x14ac:dyDescent="0.25">
      <c r="A31" s="1"/>
      <c r="B31" s="66" t="s">
        <v>192</v>
      </c>
      <c r="C31" s="23">
        <f>(C26-C27)*(1+'Fane 15. Nøgletal'!C10)</f>
        <v>15219041.271257328</v>
      </c>
      <c r="D31" s="14" t="s">
        <v>3</v>
      </c>
      <c r="E31" s="1"/>
    </row>
    <row r="32" spans="1:5" x14ac:dyDescent="0.25">
      <c r="A32" s="1"/>
      <c r="B32" s="66" t="s">
        <v>196</v>
      </c>
      <c r="C32" s="23">
        <f>C31*'Fane 15. Nøgletal'!C21</f>
        <v>304380.82542514656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Y8pGY9chLvCSMZjkHud9NgL/eNygsBevSP3P54jTr06QdF2ILK73YoWrSpxq3s7gWqc+GMcK3UuxuXiDvzSVg==" saltValue="X61mdGfacFAxb96efdvsw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6" t="s">
        <v>58</v>
      </c>
      <c r="C3" s="116"/>
      <c r="D3" s="116"/>
      <c r="E3" s="1"/>
    </row>
    <row r="4" spans="1:5" ht="15" customHeight="1" x14ac:dyDescent="0.25">
      <c r="A4" s="1"/>
      <c r="B4" s="116"/>
      <c r="C4" s="116"/>
      <c r="D4" s="116"/>
      <c r="E4" s="1"/>
    </row>
    <row r="5" spans="1:5" ht="15" customHeight="1" x14ac:dyDescent="0.25">
      <c r="A5" s="1"/>
      <c r="B5" s="116"/>
      <c r="C5" s="116"/>
      <c r="D5" s="116"/>
      <c r="E5" s="1"/>
    </row>
    <row r="6" spans="1:5" ht="15" customHeight="1" x14ac:dyDescent="0.35">
      <c r="A6" s="1"/>
      <c r="B6" s="70"/>
      <c r="C6" s="70"/>
      <c r="D6" s="70"/>
      <c r="E6" s="1"/>
    </row>
    <row r="7" spans="1:5" x14ac:dyDescent="0.25">
      <c r="A7" s="1"/>
      <c r="B7" s="1"/>
      <c r="C7" s="1"/>
      <c r="D7" s="1"/>
      <c r="E7" s="1"/>
    </row>
    <row r="8" spans="1:5" x14ac:dyDescent="0.25">
      <c r="A8" s="1"/>
      <c r="B8" s="113" t="s">
        <v>148</v>
      </c>
      <c r="C8" s="114"/>
      <c r="D8" s="115"/>
      <c r="E8" s="1"/>
    </row>
    <row r="9" spans="1:5" x14ac:dyDescent="0.25">
      <c r="A9" s="1"/>
      <c r="B9" s="66" t="s">
        <v>135</v>
      </c>
      <c r="C9" s="23">
        <v>6858578.3249667622</v>
      </c>
      <c r="D9" s="14" t="s">
        <v>3</v>
      </c>
      <c r="E9" s="1"/>
    </row>
    <row r="10" spans="1:5" x14ac:dyDescent="0.25">
      <c r="A10" s="1"/>
      <c r="B10" s="66" t="s">
        <v>127</v>
      </c>
      <c r="C10" s="84">
        <f>('Fane 3. Omkostninger i ØR2024'!C11+'Fane 3. Omkostninger i ØR2024'!C13+'Fane 3. Omkostninger i ØR2024'!C15)*(1+'Fane 15. Nøgletal'!C9)</f>
        <v>0</v>
      </c>
      <c r="D10" s="14" t="s">
        <v>3</v>
      </c>
      <c r="E10" s="1"/>
    </row>
    <row r="11" spans="1:5" x14ac:dyDescent="0.25">
      <c r="A11" s="1"/>
      <c r="B11" s="66" t="s">
        <v>136</v>
      </c>
      <c r="C11" s="8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3" t="s">
        <v>147</v>
      </c>
      <c r="C14" s="114"/>
      <c r="D14" s="115"/>
      <c r="E14" s="1"/>
    </row>
    <row r="15" spans="1:5" x14ac:dyDescent="0.25">
      <c r="A15" s="1"/>
      <c r="B15" s="66" t="s">
        <v>137</v>
      </c>
      <c r="C15" s="23">
        <f>(C9+C10-C11)*(1+'Fane 15. Nøgletal'!C9)</f>
        <v>7412751.4536240762</v>
      </c>
      <c r="D15" s="14" t="s">
        <v>3</v>
      </c>
      <c r="E15" s="1"/>
    </row>
    <row r="16" spans="1:5" x14ac:dyDescent="0.25">
      <c r="A16" s="1"/>
      <c r="B16" s="66" t="s">
        <v>186</v>
      </c>
      <c r="C16" s="84">
        <f>('Fane 2.1. Økonomisk ramme 2025'!C11+'Fane 2.1. Økonomisk ramme 2025'!C13+'Fane 2.1. Økonomisk ramme 2025'!C15)*(1+'Fane 15. Nøgletal'!C10)</f>
        <v>0</v>
      </c>
      <c r="D16" s="14" t="s">
        <v>3</v>
      </c>
      <c r="E16" s="1"/>
    </row>
    <row r="17" spans="1:5" x14ac:dyDescent="0.25">
      <c r="A17" s="1"/>
      <c r="B17" s="66" t="s">
        <v>138</v>
      </c>
      <c r="C17" s="8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3" t="s">
        <v>83</v>
      </c>
      <c r="C20" s="114"/>
      <c r="D20" s="115"/>
      <c r="E20" s="1"/>
    </row>
    <row r="21" spans="1:5" x14ac:dyDescent="0.25">
      <c r="A21" s="1"/>
      <c r="B21" s="66" t="s">
        <v>193</v>
      </c>
      <c r="C21" s="23">
        <f>(C15+C16-C17)*(1+'Fane 15. Nøgletal'!C10)</f>
        <v>7904216.8749993527</v>
      </c>
      <c r="D21" s="14" t="s">
        <v>3</v>
      </c>
      <c r="E21" s="1"/>
    </row>
    <row r="22" spans="1:5" x14ac:dyDescent="0.25">
      <c r="A22" s="1"/>
      <c r="B22" s="66" t="s">
        <v>198</v>
      </c>
      <c r="C22" s="8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3" t="s">
        <v>139</v>
      </c>
      <c r="C25" s="114"/>
      <c r="D25" s="115"/>
      <c r="E25" s="1"/>
    </row>
    <row r="26" spans="1:5" x14ac:dyDescent="0.25">
      <c r="A26" s="1"/>
      <c r="B26" s="66" t="s">
        <v>194</v>
      </c>
      <c r="C26" s="23">
        <f>(C21-C22)*(1+'Fane 15. Nøgletal'!C10)</f>
        <v>8428266.4538118094</v>
      </c>
      <c r="D26" s="14" t="s">
        <v>3</v>
      </c>
      <c r="E26" s="1"/>
    </row>
    <row r="27" spans="1:5" x14ac:dyDescent="0.25">
      <c r="A27" s="1"/>
      <c r="B27" s="66" t="s">
        <v>199</v>
      </c>
      <c r="C27" s="8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3" t="s">
        <v>164</v>
      </c>
      <c r="C30" s="114"/>
      <c r="D30" s="115"/>
      <c r="E30" s="1"/>
    </row>
    <row r="31" spans="1:5" x14ac:dyDescent="0.25">
      <c r="A31" s="1"/>
      <c r="B31" s="66" t="s">
        <v>201</v>
      </c>
      <c r="C31" s="23">
        <f>(C26-C27)*(1+'Fane 15. Nøgletal'!C10)</f>
        <v>8987060.5196995325</v>
      </c>
      <c r="D31" s="14" t="s">
        <v>3</v>
      </c>
      <c r="E31" s="1"/>
    </row>
    <row r="32" spans="1:5" x14ac:dyDescent="0.25">
      <c r="A32" s="1"/>
      <c r="B32" s="66" t="s">
        <v>200</v>
      </c>
      <c r="C32" s="8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HWxRAMA1oQakZlatpkKQzzXv8xsoLIjShXMNp/jKcC4HaqHDHU1WYaHgZz3yzY71K+ItjgijsABEU1AfA4chw==" saltValue="eWzwqHJ+L/kHM6cy1/KXq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45</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3" t="s">
        <v>10</v>
      </c>
      <c r="C8" s="115"/>
      <c r="D8" s="1"/>
    </row>
    <row r="9" spans="1:4" x14ac:dyDescent="0.25">
      <c r="A9" s="1"/>
      <c r="B9" s="66" t="s">
        <v>165</v>
      </c>
      <c r="C9" s="22">
        <v>0</v>
      </c>
      <c r="D9" s="1"/>
    </row>
    <row r="10" spans="1:4" x14ac:dyDescent="0.25">
      <c r="A10" s="1"/>
      <c r="B10" s="33"/>
      <c r="C10" s="19"/>
      <c r="D10" s="1"/>
    </row>
    <row r="11" spans="1:4" x14ac:dyDescent="0.25">
      <c r="A11" s="1"/>
      <c r="B11" s="117" t="s">
        <v>221</v>
      </c>
      <c r="C11" s="118"/>
      <c r="D11" s="1"/>
    </row>
    <row r="12" spans="1:4" x14ac:dyDescent="0.25">
      <c r="A12" s="1"/>
      <c r="B12" s="119"/>
      <c r="C12" s="120"/>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jjAQa1I4Sf57Zos8R6RVoDoDme1cTT5pywsGNlGr9xeDFhexaRxZ9Qjs5Jpj5znlYdCV+n24e+QZpHnA1VaVpQ==" saltValue="IolcAiVTwMmgK2xsEYytR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2024-05-06T07:45:39Z</cp:lastPrinted>
  <dcterms:created xsi:type="dcterms:W3CDTF">2016-06-02T08:51:18Z</dcterms:created>
  <dcterms:modified xsi:type="dcterms:W3CDTF">2024-08-14T10:57:50Z</dcterms:modified>
</cp:coreProperties>
</file>