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Denne_projektmappe" defaultThemeVersion="124226"/>
  <mc:AlternateContent xmlns:mc="http://schemas.openxmlformats.org/markup-compatibility/2006">
    <mc:Choice Requires="x15">
      <x15ac:absPath xmlns:x15ac="http://schemas.microsoft.com/office/spreadsheetml/2010/11/ac" url="E:\VAND\Sagsbehandling\Spildevand\DIN Forsyning Spildevand AS (S015)\ØR2025\"/>
    </mc:Choice>
  </mc:AlternateContent>
  <xr:revisionPtr revIDLastSave="0" documentId="13_ncr:1_{068614E0-78A2-4523-B833-05668752E420}"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2025'!$B$8:$D$39</definedName>
    <definedName name="Fane21total">'Fane 2.1. Økonomisk ramme 2025'!$C$39</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2025'!$B$8:$D$39</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2025'!$C$39</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9" i="20" l="1"/>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39" i="2" s="1"/>
  <c r="C13" i="15"/>
  <c r="C26" i="36"/>
  <c r="C27" i="36" l="1"/>
  <c r="C13" i="22" s="1"/>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<sst xmlns="http://schemas.openxmlformats.org/spreadsheetml/2006/main" count="560" uniqueCount="243">
  <si>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</si>
  <si>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</si>
  <si>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</si>
  <si>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</si>
  <si>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</si>
  <si>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</si>
  <si>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</si>
  <si>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</si>
  <si>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</si>
  <si>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</si>
  <si>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</si>
  <si>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</si>
  <si>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</si>
  <si>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</si>
  <si>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</si>
  <si>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</si>
  <si>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</si>
  <si>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</si>
  <si>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</si>
  <si>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</si>
  <si>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</si>
  <si>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</si>
  <si>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</si>
  <si>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</si>
  <si>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</si>
  <si>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</si>
  <si>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</si>
  <si>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</si>
  <si>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</si>
  <si>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</si>
  <si>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</si>
  <si>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</si>
  <si>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</si>
  <si>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</si>
  <si>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</si>
  <si>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</si>
  <si>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</si>
  <si>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</si>
  <si>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</si>
  <si>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</si>
  <si>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</si>
  <si>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</si>
  <si>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</si>
  <si>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</si>
  <si>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</si>
  <si>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</si>
  <si>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</si>
  <si>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</si>
  <si>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</si>
  <si>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</si>
  <si>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</si>
  <si>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</si>
  <si>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</si>
  <si>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</si>
  <si>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</si>
  <si>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</si>
  <si>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</si>
  <si>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</si>
  <si>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</si>
  <si>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</si>
  <si>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</si>
  <si>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</si>
  <si>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</si>
  <si>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</si>
  <si>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</si>
  <si>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</si>
  <si>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</si>
  <si>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</si>
  <si>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</si>
  <si>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</si>
  <si>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</si>
  <si>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</si>
  <si>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</si>
  <si>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</si>
  <si>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</si>
  <si>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</si>
  <si>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</si>
  <si>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</si>
  <si>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</si>
  <si>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</si>
  <si>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</si>
  <si>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</si>
  <si>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</si>
  <si>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</si>
  <si>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</si>
  <si>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</si>
  <si>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</si>
  <si>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</si>
  <si>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</si>
  <si>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</si>
  <si>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</si>
  <si>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</si>
  <si>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</si>
  <si>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</si>
  <si>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</si>
  <si>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</si>
  <si>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</si>
  <si>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</si>
  <si>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</si>
  <si>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</si>
  <si>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</si>
  <si>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</si>
  <si>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</si>
  <si>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</si>
  <si>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</si>
  <si>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</si>
  <si>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</si>
  <si>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</si>
  <si>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</si>
  <si>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</si>
  <si>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</si>
  <si>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</si>
  <si>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</si>
  <si>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</si>
  <si>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</si>
  <si>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</si>
  <si>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</si>
  <si>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</si>
  <si>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</si>
  <si>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</si>
  <si>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</si>
  <si>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</si>
  <si>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</si>
  <si>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</si>
  <si>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</si>
  <si>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</si>
  <si>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</si>
  <si>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</si>
  <si>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</si>
  <si>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</si>
  <si>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</si>
  <si>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</si>
  <si>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</si>
  <si>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</si>
  <si>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</si>
  <si>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</si>
  <si>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</si>
  <si>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</si>
  <si>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</si>
  <si>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</si>
  <si>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</si>
  <si>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</si>
  <si>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</si>
  <si>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</si>
  <si>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</si>
  <si>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</si>
  <si>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</si>
  <si>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</si>
  <si>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</si>
  <si>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</si>
  <si>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</si>
  <si>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</si>
  <si>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</si>
  <si>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</si>
  <si>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</si>
  <si>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</si>
  <si>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</si>
  <si>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</si>
  <si>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</si>
  <si>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</si>
  <si>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</si>
  <si>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</si>
  <si>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</si>
  <si>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</si>
  <si>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</si>
  <si>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</si>
  <si>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</si>
  <si>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</si>
  <si>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</si>
  <si>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</si>
  <si>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</si>
  <si>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</si>
  <si>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</si>
  <si>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</si>
  <si>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</si>
  <si>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</si>
  <si>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</si>
  <si>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</si>
  <si>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</si>
  <si>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</si>
  <si>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</si>
  <si>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</si>
  <si>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</si>
  <si>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</si>
  <si>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</si>
  <si>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</si>
  <si>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</si>
  <si>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</si>
  <si>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</si>
  <si>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</si>
  <si>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</si>
  <si>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</si>
  <si>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</si>
  <si>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</si>
  <si>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</si>
  <si>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</si>
  <si>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</si>
  <si>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</si>
  <si>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</si>
  <si>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</si>
  <si>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</si>
  <si>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</si>
  <si>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</si>
  <si>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</si>
  <si>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</si>
  <si>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</si>
  <si>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</si>
  <si>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</si>
  <si>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</si>
  <si>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</si>
  <si>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</si>
  <si>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</si>
  <si>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</si>
  <si>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</si>
  <si>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</si>
  <si>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</si>
  <si>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</si>
  <si>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</si>
  <si>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</si>
  <si>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</si>
  <si>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</si>
  <si>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</si>
  <si>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</si>
  <si>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</si>
  <si>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</si>
  <si>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</si>
  <si>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Til statusmeddelelse for 2025</t>
  </si>
  <si>
    <t>Spildevandsafgift</t>
  </si>
  <si>
    <t>Afgift til Forsyningssekretariatet</t>
  </si>
  <si>
    <t>Køb af ydelser og produkter fra andre vandselskaber reguleret af vandsektorloven</t>
  </si>
  <si>
    <t>Ejendomsskatter</t>
  </si>
  <si>
    <t>Tjenestemandspensioner</t>
  </si>
  <si>
    <t>Erstatninger</t>
  </si>
  <si>
    <t>Gebyr til Miljøstyrelsen</t>
  </si>
  <si>
    <t>Øvrige afgifter</t>
  </si>
  <si>
    <t>Centralisering Renseanlæg Øst</t>
  </si>
  <si>
    <t>Overløbsbygværker, måling</t>
  </si>
  <si>
    <t xml:space="preserve">Separat kloakering </t>
  </si>
  <si>
    <t>Trykledning Agerbæk-Starup</t>
  </si>
  <si>
    <t>§11 stk 5 - Byggemodning / Udvidelser</t>
  </si>
  <si>
    <t>Periodevis driftsomkostning - oprensning af bassin 2023</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</si>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</sst>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66"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95" t="s">
        <v>4</v>
      </c>
      <c r="D6" s="95"/>
      <c r="E6" s="95"/>
      <c r="F6" s="95"/>
      <c r="G6" s="3"/>
    </row>
    <row r="7" spans="1:7" ht="15" customHeight="1" x14ac:dyDescent="0.25">
      <c r="A7" s="1"/>
      <c r="B7" s="3"/>
      <c r="C7" s="95"/>
      <c r="D7" s="95"/>
      <c r="E7" s="95"/>
      <c r="F7" s="95"/>
      <c r="G7" s="3"/>
    </row>
    <row r="8" spans="1:7" ht="15.75" x14ac:dyDescent="0.25">
      <c r="A8" s="1"/>
      <c r="B8" s="4"/>
      <c r="C8" s="100" t="s">
        <v>226</v>
      </c>
      <c r="D8" s="100"/>
      <c r="E8" s="100"/>
      <c r="F8" s="100"/>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9" t="s">
        <v>5</v>
      </c>
      <c r="D11" s="99"/>
      <c r="E11" s="99"/>
      <c r="F11" s="99"/>
      <c r="G11" s="5"/>
    </row>
    <row r="12" spans="1:7" x14ac:dyDescent="0.25">
      <c r="A12" s="1"/>
      <c r="B12" s="1"/>
      <c r="C12" s="1"/>
      <c r="D12" s="1"/>
      <c r="E12" s="1"/>
      <c r="F12" s="1"/>
      <c r="G12" s="5"/>
    </row>
    <row r="13" spans="1:7" x14ac:dyDescent="0.25">
      <c r="A13" s="1"/>
      <c r="B13" s="6" t="s">
        <v>6</v>
      </c>
      <c r="C13" s="101" t="s">
        <v>127</v>
      </c>
      <c r="D13" s="102"/>
      <c r="E13" s="102"/>
      <c r="F13" s="103"/>
      <c r="G13" s="5"/>
    </row>
    <row r="14" spans="1:7" x14ac:dyDescent="0.25">
      <c r="A14" s="1"/>
      <c r="B14" s="6" t="s">
        <v>16</v>
      </c>
      <c r="C14" s="92" t="s">
        <v>186</v>
      </c>
      <c r="D14" s="93"/>
      <c r="E14" s="93"/>
      <c r="F14" s="94"/>
      <c r="G14" s="5"/>
    </row>
    <row r="15" spans="1:7" x14ac:dyDescent="0.25">
      <c r="A15" s="1"/>
      <c r="B15" s="6" t="s">
        <v>30</v>
      </c>
      <c r="C15" s="92" t="s">
        <v>149</v>
      </c>
      <c r="D15" s="93"/>
      <c r="E15" s="93"/>
      <c r="F15" s="94"/>
      <c r="G15" s="5"/>
    </row>
    <row r="16" spans="1:7" x14ac:dyDescent="0.25">
      <c r="A16" s="1"/>
      <c r="B16" s="6" t="s">
        <v>31</v>
      </c>
      <c r="C16" s="92" t="s">
        <v>151</v>
      </c>
      <c r="D16" s="93"/>
      <c r="E16" s="93"/>
      <c r="F16" s="94"/>
      <c r="G16" s="5"/>
    </row>
    <row r="17" spans="1:8" x14ac:dyDescent="0.25">
      <c r="A17" s="1"/>
      <c r="B17" s="6" t="s">
        <v>61</v>
      </c>
      <c r="C17" s="92" t="s">
        <v>152</v>
      </c>
      <c r="D17" s="93"/>
      <c r="E17" s="93"/>
      <c r="F17" s="94"/>
      <c r="G17" s="5"/>
    </row>
    <row r="18" spans="1:8" x14ac:dyDescent="0.25">
      <c r="A18" s="1"/>
      <c r="B18" s="6" t="s">
        <v>53</v>
      </c>
      <c r="C18" s="89" t="s">
        <v>45</v>
      </c>
      <c r="D18" s="90"/>
      <c r="E18" s="90"/>
      <c r="F18" s="91"/>
      <c r="G18" s="5"/>
    </row>
    <row r="19" spans="1:8" x14ac:dyDescent="0.25">
      <c r="A19" s="1"/>
      <c r="B19" s="6" t="s">
        <v>54</v>
      </c>
      <c r="C19" s="89" t="s">
        <v>46</v>
      </c>
      <c r="D19" s="90"/>
      <c r="E19" s="90"/>
      <c r="F19" s="91"/>
      <c r="G19" s="5"/>
    </row>
    <row r="20" spans="1:8" x14ac:dyDescent="0.25">
      <c r="A20" s="1"/>
      <c r="B20" s="6" t="s">
        <v>7</v>
      </c>
      <c r="C20" s="89" t="s">
        <v>10</v>
      </c>
      <c r="D20" s="90"/>
      <c r="E20" s="90"/>
      <c r="F20" s="91"/>
      <c r="G20" s="5"/>
    </row>
    <row r="21" spans="1:8" x14ac:dyDescent="0.25">
      <c r="A21" s="1"/>
      <c r="B21" s="6" t="s">
        <v>55</v>
      </c>
      <c r="C21" s="96" t="s">
        <v>12</v>
      </c>
      <c r="D21" s="97"/>
      <c r="E21" s="97"/>
      <c r="F21" s="98"/>
      <c r="G21" s="5"/>
    </row>
    <row r="22" spans="1:8" x14ac:dyDescent="0.25">
      <c r="A22" s="1"/>
      <c r="B22" s="6" t="s">
        <v>39</v>
      </c>
      <c r="C22" s="83" t="s">
        <v>153</v>
      </c>
      <c r="D22" s="84"/>
      <c r="E22" s="84"/>
      <c r="F22" s="85"/>
      <c r="G22" s="5"/>
    </row>
    <row r="23" spans="1:8" x14ac:dyDescent="0.25">
      <c r="A23" s="1"/>
      <c r="B23" s="6" t="s">
        <v>8</v>
      </c>
      <c r="C23" s="83" t="s">
        <v>112</v>
      </c>
      <c r="D23" s="84"/>
      <c r="E23" s="84"/>
      <c r="F23" s="85"/>
      <c r="G23" s="5"/>
    </row>
    <row r="24" spans="1:8" x14ac:dyDescent="0.25">
      <c r="A24" s="1"/>
      <c r="B24" s="6" t="s">
        <v>9</v>
      </c>
      <c r="C24" s="83" t="s">
        <v>154</v>
      </c>
      <c r="D24" s="84"/>
      <c r="E24" s="84"/>
      <c r="F24" s="85"/>
      <c r="G24" s="5"/>
    </row>
    <row r="25" spans="1:8" x14ac:dyDescent="0.25">
      <c r="A25" s="1"/>
      <c r="B25" s="6" t="s">
        <v>97</v>
      </c>
      <c r="C25" s="83" t="s">
        <v>91</v>
      </c>
      <c r="D25" s="84"/>
      <c r="E25" s="84"/>
      <c r="F25" s="85"/>
      <c r="G25" s="1"/>
    </row>
    <row r="26" spans="1:8" x14ac:dyDescent="0.25">
      <c r="A26" s="1"/>
      <c r="B26" s="6" t="s">
        <v>98</v>
      </c>
      <c r="C26" s="83" t="s">
        <v>40</v>
      </c>
      <c r="D26" s="84"/>
      <c r="E26" s="84"/>
      <c r="F26" s="85"/>
      <c r="G26" s="1"/>
    </row>
    <row r="27" spans="1:8" x14ac:dyDescent="0.25">
      <c r="A27" s="1"/>
      <c r="B27" s="6" t="s">
        <v>99</v>
      </c>
      <c r="C27" s="83" t="s">
        <v>41</v>
      </c>
      <c r="D27" s="84"/>
      <c r="E27" s="84"/>
      <c r="F27" s="85"/>
      <c r="G27" s="1"/>
    </row>
    <row r="28" spans="1:8" x14ac:dyDescent="0.25">
      <c r="A28" s="1"/>
      <c r="B28" s="6" t="s">
        <v>15</v>
      </c>
      <c r="C28" s="83" t="s">
        <v>42</v>
      </c>
      <c r="D28" s="84"/>
      <c r="E28" s="84"/>
      <c r="F28" s="85"/>
      <c r="G28" s="1"/>
      <c r="H28" s="2" t="s">
        <v>150</v>
      </c>
    </row>
    <row r="29" spans="1:8" x14ac:dyDescent="0.25">
      <c r="A29" s="1"/>
      <c r="B29" s="6" t="s">
        <v>33</v>
      </c>
      <c r="C29" s="83" t="s">
        <v>68</v>
      </c>
      <c r="D29" s="84"/>
      <c r="E29" s="84"/>
      <c r="F29" s="85"/>
      <c r="G29" s="1"/>
    </row>
    <row r="30" spans="1:8" x14ac:dyDescent="0.25">
      <c r="A30" s="1"/>
      <c r="B30" s="6" t="s">
        <v>34</v>
      </c>
      <c r="C30" s="83" t="s">
        <v>32</v>
      </c>
      <c r="D30" s="84"/>
      <c r="E30" s="84"/>
      <c r="F30" s="85"/>
      <c r="G30" s="1"/>
    </row>
    <row r="31" spans="1:8" x14ac:dyDescent="0.25">
      <c r="A31" s="1"/>
      <c r="B31" s="6" t="s">
        <v>100</v>
      </c>
      <c r="C31" s="86" t="s">
        <v>52</v>
      </c>
      <c r="D31" s="87"/>
      <c r="E31" s="87"/>
      <c r="F31" s="88"/>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ZYFVRo4jeWBxi/Cek5EveX5np0jiFxhW2P7W93VciYQIloy4588TI0d9yyZs+a87EAgZh/p7+e8xG5FgYUuATw==" saltValue="+3AMsqIBbcvAVA6H4H/cng==" spinCount="100000" sheet="1" objects="1" scenarios="1"/>
  <mergeCells count="22">
    <mergeCell ref="C14:F14"/>
    <mergeCell ref="C6:F7"/>
    <mergeCell ref="C21:F21"/>
    <mergeCell ref="C22:F22"/>
    <mergeCell ref="C11:F11"/>
    <mergeCell ref="C8:F8"/>
    <mergeCell ref="C15:F15"/>
    <mergeCell ref="C16:F16"/>
    <mergeCell ref="C19:F19"/>
    <mergeCell ref="C13:F13"/>
    <mergeCell ref="C17:F17"/>
    <mergeCell ref="C20:F20"/>
    <mergeCell ref="C30:F30"/>
    <mergeCell ref="C31:F31"/>
    <mergeCell ref="C18:F18"/>
    <mergeCell ref="C25:F25"/>
    <mergeCell ref="C26:F26"/>
    <mergeCell ref="C29:F29"/>
    <mergeCell ref="C27:F27"/>
    <mergeCell ref="C28:F28"/>
    <mergeCell ref="C24:F24"/>
    <mergeCell ref="C23:F23"/>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58</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8" t="s">
        <v>165</v>
      </c>
      <c r="C8" s="109"/>
      <c r="D8" s="110"/>
      <c r="E8" s="1"/>
    </row>
    <row r="9" spans="1:5" ht="15" customHeight="1" x14ac:dyDescent="0.25">
      <c r="A9" s="1"/>
      <c r="B9" s="27" t="s">
        <v>28</v>
      </c>
      <c r="C9" s="67" t="s">
        <v>166</v>
      </c>
      <c r="D9" s="11"/>
      <c r="E9" s="1"/>
    </row>
    <row r="10" spans="1:5" ht="15" customHeight="1" x14ac:dyDescent="0.25">
      <c r="A10" s="1"/>
      <c r="B10" s="72" t="s">
        <v>227</v>
      </c>
      <c r="C10" s="73">
        <v>5072914</v>
      </c>
      <c r="D10" s="14" t="s">
        <v>3</v>
      </c>
      <c r="E10" s="1"/>
    </row>
    <row r="11" spans="1:5" ht="15" customHeight="1" x14ac:dyDescent="0.25">
      <c r="A11" s="1"/>
      <c r="B11" s="72" t="s">
        <v>228</v>
      </c>
      <c r="C11" s="73">
        <v>232409</v>
      </c>
      <c r="D11" s="14" t="s">
        <v>3</v>
      </c>
      <c r="E11" s="1"/>
    </row>
    <row r="12" spans="1:5" ht="25.5" x14ac:dyDescent="0.25">
      <c r="A12" s="1"/>
      <c r="B12" s="72" t="s">
        <v>229</v>
      </c>
      <c r="C12" s="73">
        <v>1063364</v>
      </c>
      <c r="D12" s="14" t="s">
        <v>3</v>
      </c>
      <c r="E12" s="1"/>
    </row>
    <row r="13" spans="1:5" x14ac:dyDescent="0.25">
      <c r="A13" s="1"/>
      <c r="B13" s="72" t="s">
        <v>230</v>
      </c>
      <c r="C13" s="73">
        <v>366537</v>
      </c>
      <c r="D13" s="14" t="s">
        <v>3</v>
      </c>
      <c r="E13" s="1"/>
    </row>
    <row r="14" spans="1:5" x14ac:dyDescent="0.25">
      <c r="A14" s="1"/>
      <c r="B14" s="72" t="s">
        <v>231</v>
      </c>
      <c r="C14" s="73">
        <v>82625</v>
      </c>
      <c r="D14" s="14" t="s">
        <v>3</v>
      </c>
      <c r="E14" s="1"/>
    </row>
    <row r="15" spans="1:5" x14ac:dyDescent="0.25">
      <c r="A15" s="1"/>
      <c r="B15" s="72" t="s">
        <v>232</v>
      </c>
      <c r="C15" s="73">
        <v>300312.21000000002</v>
      </c>
      <c r="D15" s="14" t="s">
        <v>3</v>
      </c>
      <c r="E15" s="1"/>
    </row>
    <row r="16" spans="1:5" x14ac:dyDescent="0.25">
      <c r="A16" s="1"/>
      <c r="B16" s="72" t="s">
        <v>233</v>
      </c>
      <c r="C16" s="73">
        <v>51396</v>
      </c>
      <c r="D16" s="14" t="s">
        <v>3</v>
      </c>
      <c r="E16" s="1"/>
    </row>
    <row r="17" spans="1:5" x14ac:dyDescent="0.25">
      <c r="A17" s="1"/>
      <c r="B17" s="72" t="s">
        <v>234</v>
      </c>
      <c r="C17" s="73">
        <v>72758</v>
      </c>
      <c r="D17" s="14" t="s">
        <v>3</v>
      </c>
      <c r="E17" s="1"/>
    </row>
    <row r="18" spans="1:5" x14ac:dyDescent="0.25">
      <c r="A18" s="1"/>
      <c r="B18" s="72"/>
      <c r="C18" s="73"/>
      <c r="D18" s="14" t="s">
        <v>3</v>
      </c>
      <c r="E18" s="1"/>
    </row>
    <row r="19" spans="1:5" x14ac:dyDescent="0.25">
      <c r="A19" s="1"/>
      <c r="B19" s="72"/>
      <c r="C19" s="73"/>
      <c r="D19" s="14" t="s">
        <v>3</v>
      </c>
      <c r="E19" s="1"/>
    </row>
    <row r="20" spans="1:5" x14ac:dyDescent="0.25">
      <c r="A20" s="1"/>
      <c r="B20" s="33" t="s">
        <v>167</v>
      </c>
      <c r="C20" s="12">
        <f>SUM(C10:C19)</f>
        <v>7242315.21</v>
      </c>
      <c r="D20" s="13" t="s">
        <v>3</v>
      </c>
      <c r="E20" s="1"/>
    </row>
    <row r="21" spans="1:5" x14ac:dyDescent="0.25">
      <c r="A21" s="1"/>
      <c r="B21" s="33" t="s">
        <v>168</v>
      </c>
      <c r="C21" s="12">
        <f>C20*(1+'Fane 15. Nøgletal'!C10)^2</f>
        <v>8234481.1793914447</v>
      </c>
      <c r="D21" s="13" t="s">
        <v>3</v>
      </c>
      <c r="E21" s="1"/>
    </row>
    <row r="22" spans="1:5" x14ac:dyDescent="0.25">
      <c r="A22" s="1"/>
      <c r="B22" s="16"/>
      <c r="C22" s="15"/>
      <c r="D22" s="15"/>
      <c r="E22" s="1"/>
    </row>
    <row r="23" spans="1:5" x14ac:dyDescent="0.25">
      <c r="A23" s="1"/>
      <c r="B23" s="16"/>
      <c r="C23" s="15"/>
      <c r="D23" s="15"/>
      <c r="E23" s="1"/>
    </row>
    <row r="24" spans="1:5" x14ac:dyDescent="0.25">
      <c r="A24" s="1"/>
      <c r="B24" s="108" t="s">
        <v>60</v>
      </c>
      <c r="C24" s="109"/>
      <c r="D24" s="110"/>
      <c r="E24" s="1"/>
    </row>
    <row r="25" spans="1:5" x14ac:dyDescent="0.25">
      <c r="A25" s="1"/>
      <c r="B25" s="37" t="s">
        <v>72</v>
      </c>
      <c r="C25" s="9">
        <v>0</v>
      </c>
      <c r="D25" s="14" t="s">
        <v>3</v>
      </c>
      <c r="E25" s="1"/>
    </row>
    <row r="26" spans="1:5" x14ac:dyDescent="0.25">
      <c r="A26" s="1"/>
      <c r="B26" s="37" t="s">
        <v>83</v>
      </c>
      <c r="C26" s="9">
        <v>0</v>
      </c>
      <c r="D26" s="14" t="s">
        <v>3</v>
      </c>
      <c r="E26" s="1"/>
    </row>
    <row r="27" spans="1:5" x14ac:dyDescent="0.25">
      <c r="A27" s="1"/>
      <c r="B27" s="37" t="s">
        <v>148</v>
      </c>
      <c r="C27" s="9">
        <v>0</v>
      </c>
      <c r="D27" s="14" t="s">
        <v>3</v>
      </c>
      <c r="E27" s="1"/>
    </row>
    <row r="28" spans="1:5" x14ac:dyDescent="0.25">
      <c r="A28" s="1"/>
      <c r="B28" s="34" t="s">
        <v>169</v>
      </c>
      <c r="C28" s="9">
        <v>0</v>
      </c>
      <c r="D28" s="36" t="s">
        <v>3</v>
      </c>
      <c r="E28" s="1"/>
    </row>
    <row r="29" spans="1:5" x14ac:dyDescent="0.25">
      <c r="A29" s="1"/>
      <c r="B29" s="108"/>
      <c r="C29" s="109"/>
      <c r="D29" s="110"/>
      <c r="E29" s="1"/>
    </row>
    <row r="30" spans="1:5" x14ac:dyDescent="0.25">
      <c r="A30" s="1"/>
      <c r="B30" s="1"/>
      <c r="C30" s="1"/>
      <c r="D30" s="1"/>
      <c r="E30" s="1"/>
    </row>
    <row r="31" spans="1:5" x14ac:dyDescent="0.25">
      <c r="A31" s="1"/>
      <c r="B31" s="1"/>
      <c r="C31" s="1"/>
      <c r="D31" s="1"/>
      <c r="E31" s="1"/>
    </row>
    <row r="32" spans="1:5" x14ac:dyDescent="0.25">
      <c r="A32" s="1"/>
      <c r="B32" s="108" t="s">
        <v>47</v>
      </c>
      <c r="C32" s="109"/>
      <c r="D32" s="110"/>
      <c r="E32" s="1"/>
    </row>
    <row r="33" spans="1:5" x14ac:dyDescent="0.25">
      <c r="A33" s="1"/>
      <c r="B33" s="37" t="s">
        <v>72</v>
      </c>
      <c r="C33" s="9">
        <v>0</v>
      </c>
      <c r="D33" s="14" t="s">
        <v>3</v>
      </c>
      <c r="E33" s="1"/>
    </row>
    <row r="34" spans="1:5" x14ac:dyDescent="0.25">
      <c r="A34" s="1"/>
      <c r="B34" s="37" t="s">
        <v>83</v>
      </c>
      <c r="C34" s="9">
        <v>0</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08"/>
      <c r="C37" s="109"/>
      <c r="D37" s="110"/>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t4ZSTsa9A0EchyTxduHNyRjROVqm0RmZldpKkC6F51z9HVVIUD7LI/ovz47GcYF+4YCkI/ggVFRQBEfGb7gDxw==" saltValue="ZNWEsDYH6gYAD0qpmznp0g=="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201</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5"/>
      <c r="C6" s="75"/>
      <c r="D6" s="75"/>
      <c r="E6" s="1"/>
    </row>
    <row r="7" spans="1:5" x14ac:dyDescent="0.25">
      <c r="A7" s="1"/>
      <c r="B7" s="1"/>
      <c r="C7" s="1"/>
      <c r="D7" s="1"/>
      <c r="E7" s="1"/>
    </row>
    <row r="8" spans="1:5" x14ac:dyDescent="0.25">
      <c r="A8" s="1"/>
      <c r="B8" s="108" t="s">
        <v>77</v>
      </c>
      <c r="C8" s="109"/>
      <c r="D8" s="110"/>
      <c r="E8" s="1"/>
    </row>
    <row r="9" spans="1:5" x14ac:dyDescent="0.25">
      <c r="A9" s="1"/>
      <c r="B9" s="65" t="s">
        <v>204</v>
      </c>
      <c r="C9" s="9">
        <v>5548274.4586962461</v>
      </c>
      <c r="D9" s="14" t="s">
        <v>3</v>
      </c>
      <c r="E9" s="1"/>
    </row>
    <row r="10" spans="1:5" x14ac:dyDescent="0.25">
      <c r="A10" s="1"/>
      <c r="B10" s="33"/>
      <c r="C10" s="28"/>
      <c r="D10" s="19"/>
      <c r="E10" s="1"/>
    </row>
    <row r="11" spans="1:5" ht="53.25" customHeight="1" x14ac:dyDescent="0.25">
      <c r="A11" s="1"/>
      <c r="B11" s="119" t="s">
        <v>212</v>
      </c>
      <c r="C11" s="120"/>
      <c r="D11" s="121"/>
      <c r="E11" s="1"/>
    </row>
    <row r="12" spans="1:5" x14ac:dyDescent="0.25">
      <c r="A12" s="1"/>
      <c r="B12" s="1"/>
      <c r="C12" s="1"/>
      <c r="D12" s="1"/>
      <c r="E12" s="1"/>
    </row>
    <row r="13" spans="1:5" x14ac:dyDescent="0.25">
      <c r="A13" s="1"/>
      <c r="B13" s="108" t="s">
        <v>78</v>
      </c>
      <c r="C13" s="109"/>
      <c r="D13" s="110"/>
      <c r="E13" s="1"/>
    </row>
    <row r="14" spans="1:5" x14ac:dyDescent="0.25">
      <c r="A14" s="1"/>
      <c r="B14" s="65" t="s">
        <v>202</v>
      </c>
      <c r="C14" s="9">
        <v>-5673058.5</v>
      </c>
      <c r="D14" s="14" t="s">
        <v>3</v>
      </c>
      <c r="E14" s="1"/>
    </row>
    <row r="15" spans="1:5" x14ac:dyDescent="0.25">
      <c r="A15" s="1"/>
      <c r="B15" s="65" t="s">
        <v>203</v>
      </c>
      <c r="C15" s="9">
        <v>-5673058.5</v>
      </c>
      <c r="D15" s="14" t="s">
        <v>3</v>
      </c>
      <c r="E15" s="1"/>
    </row>
    <row r="16" spans="1:5" x14ac:dyDescent="0.25">
      <c r="A16" s="1"/>
      <c r="B16" s="33"/>
      <c r="C16" s="28"/>
      <c r="D16" s="19"/>
      <c r="E16" s="1"/>
    </row>
    <row r="17" spans="1:5" ht="29.25" customHeight="1" x14ac:dyDescent="0.25">
      <c r="A17" s="1"/>
      <c r="B17" s="119" t="s">
        <v>121</v>
      </c>
      <c r="C17" s="120"/>
      <c r="D17" s="121"/>
      <c r="E17" s="1"/>
    </row>
    <row r="18" spans="1:5" x14ac:dyDescent="0.25">
      <c r="A18" s="1"/>
      <c r="B18" s="1"/>
      <c r="C18" s="1"/>
      <c r="D18" s="1"/>
      <c r="E18" s="1"/>
    </row>
    <row r="19" spans="1:5" x14ac:dyDescent="0.25">
      <c r="A19" s="1"/>
      <c r="B19" s="76" t="s">
        <v>205</v>
      </c>
      <c r="C19" s="77"/>
      <c r="D19" s="78"/>
      <c r="E19" s="1"/>
    </row>
    <row r="20" spans="1:5" x14ac:dyDescent="0.25">
      <c r="A20" s="1"/>
      <c r="B20" s="65" t="s">
        <v>206</v>
      </c>
      <c r="C20" s="9">
        <v>264995064.50766447</v>
      </c>
      <c r="D20" s="14" t="s">
        <v>3</v>
      </c>
      <c r="E20" s="1"/>
    </row>
    <row r="21" spans="1:5" x14ac:dyDescent="0.25">
      <c r="A21" s="1"/>
      <c r="B21" s="65" t="s">
        <v>207</v>
      </c>
      <c r="C21" s="9">
        <v>263491851</v>
      </c>
      <c r="D21" s="14" t="s">
        <v>3</v>
      </c>
      <c r="E21" s="1"/>
    </row>
    <row r="22" spans="1:5" x14ac:dyDescent="0.25">
      <c r="A22" s="1"/>
      <c r="B22" s="65" t="s">
        <v>29</v>
      </c>
      <c r="C22" s="9">
        <v>-101814</v>
      </c>
      <c r="D22" s="14" t="s">
        <v>3</v>
      </c>
      <c r="E22" s="1"/>
    </row>
    <row r="23" spans="1:5" x14ac:dyDescent="0.25">
      <c r="A23" s="1"/>
      <c r="B23" s="82" t="s">
        <v>208</v>
      </c>
      <c r="C23" s="57">
        <f>C20-C21-C22</f>
        <v>1605027.5076644719</v>
      </c>
      <c r="D23" s="17" t="s">
        <v>3</v>
      </c>
      <c r="E23" s="1"/>
    </row>
    <row r="24" spans="1:5" x14ac:dyDescent="0.25">
      <c r="A24" s="1"/>
      <c r="B24" s="33"/>
      <c r="C24" s="28"/>
      <c r="D24" s="19"/>
      <c r="E24" s="1"/>
    </row>
    <row r="25" spans="1:5" x14ac:dyDescent="0.25">
      <c r="A25" s="1"/>
      <c r="B25" s="1"/>
      <c r="C25" s="1"/>
      <c r="D25" s="1"/>
      <c r="E25" s="1"/>
    </row>
    <row r="26" spans="1:5" x14ac:dyDescent="0.25">
      <c r="A26" s="1"/>
      <c r="B26" s="108" t="s">
        <v>209</v>
      </c>
      <c r="C26" s="109"/>
      <c r="D26" s="110"/>
      <c r="E26" s="1"/>
    </row>
    <row r="27" spans="1:5" x14ac:dyDescent="0.25">
      <c r="A27" s="1"/>
      <c r="B27" s="82" t="s">
        <v>210</v>
      </c>
      <c r="C27" s="57">
        <f>IF(AND(C15&lt;0,C23&gt;0,ABS(SUM(C14:C15))&lt;C23),ABS(C14),IF(AND(C15&lt;0,C23&gt;0,ABS(SUM(C14:C15))&gt;C23),SUM(C14,C23),C15))</f>
        <v>-4068030.9923355281</v>
      </c>
      <c r="D27" s="17" t="s">
        <v>3</v>
      </c>
      <c r="E27" s="1"/>
    </row>
    <row r="28" spans="1:5" x14ac:dyDescent="0.25">
      <c r="A28" s="1"/>
      <c r="B28" s="108"/>
      <c r="C28" s="109"/>
      <c r="D28" s="110"/>
      <c r="E28" s="1"/>
    </row>
    <row r="29" spans="1:5" x14ac:dyDescent="0.25">
      <c r="A29" s="1"/>
      <c r="B29" s="1"/>
      <c r="C29" s="1"/>
      <c r="D29" s="1"/>
      <c r="E29" s="1"/>
    </row>
    <row r="30" spans="1:5" x14ac:dyDescent="0.25">
      <c r="A30" s="1"/>
      <c r="B30" s="108" t="s">
        <v>211</v>
      </c>
      <c r="C30" s="109"/>
      <c r="D30" s="110"/>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6"/>
      <c r="C34" s="117"/>
      <c r="D34" s="118"/>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LNKa0OmLt/+UmNkCBofbUvY5C25uy5vAc4cHiIqC2T8oOTUjxOjhugWkll5y2RMfi29J984WJr+KYL4rgzq2Xg==" saltValue="mriyVJyIqcyGsaqtXneFqw=="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6" t="s">
        <v>101</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x14ac:dyDescent="0.25">
      <c r="A8" s="1"/>
      <c r="B8" s="108" t="s">
        <v>120</v>
      </c>
      <c r="C8" s="109"/>
      <c r="D8" s="110"/>
      <c r="E8" s="1"/>
    </row>
    <row r="9" spans="1:5" ht="15" customHeight="1" x14ac:dyDescent="0.25">
      <c r="A9" s="1"/>
      <c r="B9" s="122" t="s">
        <v>102</v>
      </c>
      <c r="C9" s="123"/>
      <c r="D9" s="124"/>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6"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Qjj6EwAbsJ4gCSItIoOVtpFDD3AL9AH41lbaNB5F5rNa1hDNtordM80VUf65CW20fzp2ktnv84YqUEGrGFR7cQ==" saltValue="P1hbbHOK5PWTJz4XLNLWCQ=="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170</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8" t="s">
        <v>171</v>
      </c>
      <c r="C8" s="109"/>
      <c r="D8" s="110"/>
      <c r="E8" s="1"/>
    </row>
    <row r="9" spans="1:5" ht="26.25" x14ac:dyDescent="0.25">
      <c r="A9" s="1"/>
      <c r="B9" s="79" t="s">
        <v>215</v>
      </c>
      <c r="C9" s="7">
        <v>0</v>
      </c>
      <c r="D9" s="8" t="s">
        <v>3</v>
      </c>
      <c r="E9" s="1"/>
    </row>
    <row r="10" spans="1:5" ht="14.25" customHeight="1" x14ac:dyDescent="0.25">
      <c r="A10" s="1"/>
      <c r="B10" s="65" t="s">
        <v>172</v>
      </c>
      <c r="C10" s="7">
        <v>0</v>
      </c>
      <c r="D10" s="8" t="s">
        <v>3</v>
      </c>
      <c r="E10" s="1"/>
    </row>
    <row r="11" spans="1:5" ht="14.25" customHeight="1" x14ac:dyDescent="0.25">
      <c r="A11" s="1"/>
      <c r="B11" s="82" t="s">
        <v>48</v>
      </c>
      <c r="C11" s="10">
        <f>C10-C9</f>
        <v>0</v>
      </c>
      <c r="D11" s="11" t="s">
        <v>3</v>
      </c>
      <c r="E11" s="1"/>
    </row>
    <row r="12" spans="1:5" ht="14.25" customHeight="1" x14ac:dyDescent="0.25">
      <c r="A12" s="1"/>
      <c r="B12" s="108" t="s">
        <v>217</v>
      </c>
      <c r="C12" s="109"/>
      <c r="D12" s="110"/>
      <c r="E12" s="1"/>
    </row>
    <row r="13" spans="1:5" ht="26.25" x14ac:dyDescent="0.25">
      <c r="A13" s="1"/>
      <c r="B13" s="79" t="s">
        <v>216</v>
      </c>
      <c r="C13" s="7">
        <v>0</v>
      </c>
      <c r="D13" s="8" t="s">
        <v>3</v>
      </c>
      <c r="E13" s="1"/>
    </row>
    <row r="14" spans="1:5" ht="14.25" customHeight="1" x14ac:dyDescent="0.25">
      <c r="A14" s="1"/>
      <c r="B14" s="65" t="s">
        <v>173</v>
      </c>
      <c r="C14" s="7">
        <v>0</v>
      </c>
      <c r="D14" s="8" t="s">
        <v>3</v>
      </c>
      <c r="E14" s="1"/>
    </row>
    <row r="15" spans="1:5" ht="14.25" customHeight="1" x14ac:dyDescent="0.25">
      <c r="A15" s="1"/>
      <c r="B15" s="82" t="s">
        <v>48</v>
      </c>
      <c r="C15" s="10">
        <f>C14-C13</f>
        <v>0</v>
      </c>
      <c r="D15" s="11" t="s">
        <v>3</v>
      </c>
      <c r="E15" s="1"/>
    </row>
    <row r="16" spans="1:5" ht="14.25" customHeight="1" x14ac:dyDescent="0.25">
      <c r="A16" s="1"/>
      <c r="B16" s="33" t="s">
        <v>174</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WwrCb1KmtJ+RVOIi5Wee6imUaQeXy8Yx0C6B9dQAaRO5PvkoEIhZmgq48VixlTKzA5MYFE+Y8ykc/WoUikrhhQ==" saltValue="okXEygMKFt3BGhlES/Z+JQ=="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4" t="s">
        <v>113</v>
      </c>
      <c r="C3" s="104"/>
      <c r="D3" s="104"/>
      <c r="E3" s="104"/>
      <c r="F3" s="104"/>
      <c r="G3" s="104"/>
      <c r="H3" s="104"/>
      <c r="I3" s="104"/>
      <c r="J3" s="104"/>
      <c r="K3" s="104"/>
      <c r="L3" s="1"/>
    </row>
    <row r="4" spans="1:12" ht="15" customHeight="1" x14ac:dyDescent="0.25">
      <c r="A4" s="1"/>
      <c r="B4" s="104"/>
      <c r="C4" s="104"/>
      <c r="D4" s="104"/>
      <c r="E4" s="104"/>
      <c r="F4" s="104"/>
      <c r="G4" s="104"/>
      <c r="H4" s="104"/>
      <c r="I4" s="104"/>
      <c r="J4" s="104"/>
      <c r="K4" s="10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8" t="s">
        <v>86</v>
      </c>
      <c r="C8" s="109"/>
      <c r="D8" s="109"/>
      <c r="E8" s="109"/>
      <c r="F8" s="109"/>
      <c r="G8" s="109"/>
      <c r="H8" s="109"/>
      <c r="I8" s="109"/>
      <c r="J8" s="109"/>
      <c r="K8" s="110"/>
      <c r="L8" s="1"/>
    </row>
    <row r="9" spans="1:12" ht="39.75" customHeight="1" x14ac:dyDescent="0.25">
      <c r="A9" s="1"/>
      <c r="B9" s="18" t="s">
        <v>0</v>
      </c>
      <c r="C9" s="18" t="s">
        <v>1</v>
      </c>
      <c r="D9" s="125" t="s">
        <v>96</v>
      </c>
      <c r="E9" s="126"/>
      <c r="F9" s="125" t="s">
        <v>2</v>
      </c>
      <c r="G9" s="126"/>
      <c r="H9" s="125" t="s">
        <v>95</v>
      </c>
      <c r="I9" s="126"/>
      <c r="J9" s="125" t="s">
        <v>26</v>
      </c>
      <c r="K9" s="126"/>
      <c r="L9" s="1"/>
    </row>
    <row r="10" spans="1:12" x14ac:dyDescent="0.25">
      <c r="A10" s="1"/>
      <c r="B10" s="68" t="s">
        <v>222</v>
      </c>
      <c r="C10" s="42">
        <v>0</v>
      </c>
      <c r="D10" s="9">
        <v>0</v>
      </c>
      <c r="E10" s="14" t="s">
        <v>3</v>
      </c>
      <c r="F10" s="9">
        <f>IFERROR(D10/C10,0)</f>
        <v>0</v>
      </c>
      <c r="G10" s="14" t="s">
        <v>3</v>
      </c>
      <c r="H10" s="38">
        <v>0</v>
      </c>
      <c r="I10" s="14" t="s">
        <v>3</v>
      </c>
      <c r="J10" s="38">
        <v>0</v>
      </c>
      <c r="K10" s="14" t="s">
        <v>3</v>
      </c>
      <c r="L10" s="1"/>
    </row>
    <row r="11" spans="1:12" x14ac:dyDescent="0.25">
      <c r="A11" s="1"/>
      <c r="B11" s="76" t="s">
        <v>219</v>
      </c>
      <c r="C11" s="77"/>
      <c r="D11" s="78"/>
      <c r="E11" s="78"/>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14jloZiPsxziPR9dm8EWqBJhP+9bTPaNrB+yZnTM7RxZG4xJfscQPQu0EtqiSHSvhH0AGq6ainggEO8F0NbLzw==" saltValue="PnOON9DjV+zcPduzOPdeN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114</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0" t="s">
        <v>17</v>
      </c>
      <c r="C9" s="82" t="s">
        <v>11</v>
      </c>
      <c r="D9" s="81"/>
      <c r="E9" s="82"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235</v>
      </c>
      <c r="C11" s="21">
        <v>0</v>
      </c>
      <c r="D11" s="14" t="s">
        <v>3</v>
      </c>
      <c r="E11" s="9">
        <v>160618</v>
      </c>
      <c r="F11" s="14" t="s">
        <v>3</v>
      </c>
      <c r="G11" s="1"/>
    </row>
    <row r="12" spans="1:7" x14ac:dyDescent="0.25">
      <c r="A12" s="1"/>
      <c r="B12" s="24" t="s">
        <v>236</v>
      </c>
      <c r="C12" s="21">
        <v>0</v>
      </c>
      <c r="D12" s="14" t="s">
        <v>3</v>
      </c>
      <c r="E12" s="9">
        <v>300985</v>
      </c>
      <c r="F12" s="14" t="s">
        <v>3</v>
      </c>
      <c r="G12" s="1"/>
    </row>
    <row r="13" spans="1:7" x14ac:dyDescent="0.25">
      <c r="A13" s="1"/>
      <c r="B13" s="24" t="s">
        <v>237</v>
      </c>
      <c r="C13" s="21">
        <v>160031</v>
      </c>
      <c r="D13" s="14" t="s">
        <v>3</v>
      </c>
      <c r="E13" s="9">
        <v>1518970</v>
      </c>
      <c r="F13" s="14" t="s">
        <v>3</v>
      </c>
      <c r="G13" s="1"/>
    </row>
    <row r="14" spans="1:7" x14ac:dyDescent="0.25">
      <c r="A14" s="1"/>
      <c r="B14" s="24" t="s">
        <v>238</v>
      </c>
      <c r="C14" s="21">
        <v>0</v>
      </c>
      <c r="D14" s="14" t="s">
        <v>3</v>
      </c>
      <c r="E14" s="9">
        <v>57738</v>
      </c>
      <c r="F14" s="14" t="s">
        <v>3</v>
      </c>
      <c r="G14" s="1"/>
    </row>
    <row r="15" spans="1:7" x14ac:dyDescent="0.25">
      <c r="A15" s="1"/>
      <c r="B15" s="24" t="s">
        <v>239</v>
      </c>
      <c r="C15" s="21">
        <v>388000</v>
      </c>
      <c r="D15" s="14" t="s">
        <v>3</v>
      </c>
      <c r="E15" s="9">
        <v>439973</v>
      </c>
      <c r="F15" s="14" t="s">
        <v>3</v>
      </c>
      <c r="G15" s="1"/>
    </row>
    <row r="16" spans="1:7" ht="26.25" x14ac:dyDescent="0.25">
      <c r="A16" s="1"/>
      <c r="B16" s="70" t="s">
        <v>240</v>
      </c>
      <c r="C16" s="21">
        <v>203362</v>
      </c>
      <c r="D16" s="14" t="s">
        <v>3</v>
      </c>
      <c r="E16" s="9">
        <v>0</v>
      </c>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751393</v>
      </c>
      <c r="D19" s="13" t="s">
        <v>3</v>
      </c>
      <c r="E19" s="12">
        <f>SUM(E10:E18)</f>
        <v>2478284</v>
      </c>
      <c r="F19" s="13" t="s">
        <v>3</v>
      </c>
      <c r="G19" s="1"/>
    </row>
    <row r="20" spans="1:7" x14ac:dyDescent="0.25">
      <c r="A20" s="1"/>
      <c r="B20" s="33" t="s">
        <v>175</v>
      </c>
      <c r="C20" s="12">
        <f>C19*(1+'Fane 15. Nøgletal'!C10)</f>
        <v>801210.35589999997</v>
      </c>
      <c r="D20" s="13" t="s">
        <v>3</v>
      </c>
      <c r="E20" s="12">
        <f>E19*(1+'Fane 15. Nøgletal'!C10)</f>
        <v>2642594.2291999999</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c0bWQte90jeGTSQNhAXxEZu8Is/ExtffTU+Q1wOMOiIRdl0U32Q8Wx6UNj5dUk4fk9RQWrAouQa+RLf/q+/TCw==" saltValue="e91FSbo4Mj8MDWI5+hpIt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115</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8" t="s">
        <v>176</v>
      </c>
      <c r="C8" s="109"/>
      <c r="D8" s="109"/>
      <c r="E8" s="109"/>
      <c r="F8" s="110"/>
      <c r="G8" s="1"/>
    </row>
    <row r="9" spans="1:7" x14ac:dyDescent="0.25">
      <c r="A9" s="1"/>
      <c r="B9" s="80" t="s">
        <v>17</v>
      </c>
      <c r="C9" s="82" t="s">
        <v>11</v>
      </c>
      <c r="D9" s="81"/>
      <c r="E9" s="82" t="s">
        <v>27</v>
      </c>
      <c r="F9" s="32"/>
      <c r="G9" s="1"/>
    </row>
    <row r="10" spans="1:7" x14ac:dyDescent="0.25">
      <c r="A10" s="1"/>
      <c r="B10" s="24" t="s">
        <v>237</v>
      </c>
      <c r="C10" s="21">
        <v>0</v>
      </c>
      <c r="D10" s="14" t="s">
        <v>3</v>
      </c>
      <c r="E10" s="9">
        <v>483367</v>
      </c>
      <c r="F10" s="14" t="s">
        <v>3</v>
      </c>
      <c r="G10" s="1"/>
    </row>
    <row r="11" spans="1:7" ht="26.25" x14ac:dyDescent="0.25">
      <c r="A11" s="1"/>
      <c r="B11" s="70" t="s">
        <v>240</v>
      </c>
      <c r="C11" s="21">
        <v>2033629</v>
      </c>
      <c r="D11" s="14" t="s">
        <v>3</v>
      </c>
      <c r="E11" s="9">
        <v>0</v>
      </c>
      <c r="F11" s="14" t="s">
        <v>3</v>
      </c>
      <c r="G11" s="1"/>
    </row>
    <row r="12" spans="1:7" x14ac:dyDescent="0.25">
      <c r="A12" s="1"/>
      <c r="B12" s="24"/>
      <c r="C12" s="21"/>
      <c r="D12" s="14" t="s">
        <v>3</v>
      </c>
      <c r="E12" s="9"/>
      <c r="F12" s="14" t="s">
        <v>3</v>
      </c>
      <c r="G12" s="1"/>
    </row>
    <row r="13" spans="1:7" x14ac:dyDescent="0.25">
      <c r="A13" s="1"/>
      <c r="B13" s="33" t="s">
        <v>177</v>
      </c>
      <c r="C13" s="12">
        <f>SUM(C10:C12)</f>
        <v>2033629</v>
      </c>
      <c r="D13" s="13" t="s">
        <v>3</v>
      </c>
      <c r="E13" s="12">
        <f>SUM(E10:E12)</f>
        <v>483367</v>
      </c>
      <c r="F13" s="13" t="s">
        <v>3</v>
      </c>
      <c r="G13" s="1"/>
    </row>
    <row r="14" spans="1:7" x14ac:dyDescent="0.25">
      <c r="A14" s="1"/>
      <c r="B14" s="33" t="s">
        <v>178</v>
      </c>
      <c r="C14" s="12">
        <f>C13*(1+'Fane 15. Nøgletal'!C10)^2</f>
        <v>2312227.4080590098</v>
      </c>
      <c r="D14" s="13" t="s">
        <v>3</v>
      </c>
      <c r="E14" s="12">
        <f>E13*(1+'Fane 15. Nøgletal'!C10)^2</f>
        <v>549586.19568822999</v>
      </c>
      <c r="F14" s="13" t="s">
        <v>3</v>
      </c>
      <c r="G14" s="1"/>
    </row>
    <row r="15" spans="1:7" x14ac:dyDescent="0.25">
      <c r="A15" s="1"/>
      <c r="B15" s="1"/>
      <c r="C15" s="1"/>
      <c r="D15" s="1"/>
      <c r="E15" s="1"/>
      <c r="F15" s="1"/>
      <c r="G15" s="1"/>
    </row>
    <row r="16" spans="1:7" x14ac:dyDescent="0.25">
      <c r="A16" s="1"/>
      <c r="B16" s="127"/>
      <c r="C16" s="127"/>
      <c r="D16" s="127"/>
      <c r="E16" s="127"/>
      <c r="F16" s="127"/>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7"/>
      <c r="C29" s="127"/>
      <c r="D29" s="127"/>
      <c r="E29" s="127"/>
      <c r="F29" s="127"/>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ctCn2pOE3IGU2aJQFnrUnqTLWhNN6WJgp+OylK3ywBVj20noOnV/VWamp6nRDqC+kJhkQTTQa6IaVCT/slFCFA==" saltValue="0BohPwuzwZrkktcgDaSMOQ=="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116</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ht="14.25" customHeight="1" x14ac:dyDescent="0.25">
      <c r="A8" s="1"/>
      <c r="B8" s="108" t="s">
        <v>73</v>
      </c>
      <c r="C8" s="109"/>
      <c r="D8" s="110"/>
      <c r="E8" s="1"/>
    </row>
    <row r="9" spans="1:5" x14ac:dyDescent="0.25">
      <c r="A9" s="1"/>
      <c r="B9" s="68" t="s">
        <v>179</v>
      </c>
      <c r="C9" s="9">
        <f>1011214.03582115*(1+'Fane 15. Nøgletal'!C9)</f>
        <v>1092920.1299154989</v>
      </c>
      <c r="D9" s="14" t="s">
        <v>3</v>
      </c>
      <c r="E9" s="1"/>
    </row>
    <row r="10" spans="1:5" x14ac:dyDescent="0.25">
      <c r="A10" s="1"/>
      <c r="B10" s="64" t="s">
        <v>10</v>
      </c>
      <c r="C10" s="9">
        <f>-C9*'Fane 5. Individuelt eff. krav'!C9</f>
        <v>-2390.0948339016363</v>
      </c>
      <c r="D10" s="14" t="s">
        <v>3</v>
      </c>
      <c r="E10" s="1"/>
    </row>
    <row r="11" spans="1:5" x14ac:dyDescent="0.25">
      <c r="A11" s="1"/>
      <c r="B11" s="64" t="s">
        <v>22</v>
      </c>
      <c r="C11" s="9">
        <f>-C9*'Fane 15. Nøgletal'!C21</f>
        <v>-21858.402598309978</v>
      </c>
      <c r="D11" s="14" t="s">
        <v>3</v>
      </c>
      <c r="E11" s="1"/>
    </row>
    <row r="12" spans="1:5" x14ac:dyDescent="0.25">
      <c r="A12" s="1"/>
      <c r="B12" s="76" t="s">
        <v>74</v>
      </c>
      <c r="C12" s="12">
        <f>SUM(C9:C11)*(1+'Fane 15. Nøgletal'!C9)^2</f>
        <v>1248345.940659282</v>
      </c>
      <c r="D12" s="13" t="s">
        <v>3</v>
      </c>
      <c r="E12" s="1"/>
    </row>
    <row r="13" spans="1:5" x14ac:dyDescent="0.25">
      <c r="A13" s="1"/>
      <c r="B13" s="1"/>
      <c r="C13" s="1"/>
      <c r="D13" s="1"/>
      <c r="E13" s="1"/>
    </row>
    <row r="14" spans="1:5" ht="15" customHeight="1" x14ac:dyDescent="0.25">
      <c r="A14" s="1"/>
      <c r="B14" s="108" t="s">
        <v>84</v>
      </c>
      <c r="C14" s="109"/>
      <c r="D14" s="110"/>
      <c r="E14" s="1"/>
    </row>
    <row r="15" spans="1:5" x14ac:dyDescent="0.25">
      <c r="A15" s="1"/>
      <c r="B15" s="68" t="s">
        <v>179</v>
      </c>
      <c r="C15" s="9">
        <v>1047213.255496382</v>
      </c>
      <c r="D15" s="14" t="s">
        <v>3</v>
      </c>
      <c r="E15" s="1"/>
    </row>
    <row r="16" spans="1:5" x14ac:dyDescent="0.25">
      <c r="A16" s="1"/>
      <c r="B16" s="64" t="s">
        <v>10</v>
      </c>
      <c r="C16" s="9">
        <f>-C15*'Fane 5. Individuelt eff. krav'!C9</f>
        <v>-2290.13898037429</v>
      </c>
      <c r="D16" s="14" t="s">
        <v>3</v>
      </c>
      <c r="E16" s="1"/>
    </row>
    <row r="17" spans="1:5" x14ac:dyDescent="0.25">
      <c r="A17" s="1"/>
      <c r="B17" s="64" t="s">
        <v>22</v>
      </c>
      <c r="C17" s="9">
        <f>-C15*'Fane 15. Nøgletal'!C21</f>
        <v>-20944.265109927641</v>
      </c>
      <c r="D17" s="14" t="s">
        <v>3</v>
      </c>
      <c r="E17" s="1"/>
    </row>
    <row r="18" spans="1:5" x14ac:dyDescent="0.25">
      <c r="A18" s="1"/>
      <c r="B18" s="76" t="s">
        <v>85</v>
      </c>
      <c r="C18" s="12">
        <f>SUM(C15:C17)*(1+'Fane 15. Nøgletal'!C10)^3</f>
        <v>1241449.9482482646</v>
      </c>
      <c r="D18" s="13" t="s">
        <v>3</v>
      </c>
      <c r="E18" s="1"/>
    </row>
    <row r="19" spans="1:5" x14ac:dyDescent="0.25">
      <c r="A19" s="1"/>
      <c r="B19" s="1"/>
      <c r="C19" s="1"/>
      <c r="D19" s="1"/>
      <c r="E19" s="1"/>
    </row>
    <row r="20" spans="1:5" ht="15" customHeight="1" x14ac:dyDescent="0.25">
      <c r="A20" s="1"/>
      <c r="B20" s="108" t="s">
        <v>140</v>
      </c>
      <c r="C20" s="109"/>
      <c r="D20" s="110"/>
      <c r="E20" s="1"/>
    </row>
    <row r="21" spans="1:5" x14ac:dyDescent="0.25">
      <c r="A21" s="1"/>
      <c r="B21" s="68" t="s">
        <v>179</v>
      </c>
      <c r="C21" s="9">
        <v>1047213.255496382</v>
      </c>
      <c r="D21" s="14" t="s">
        <v>3</v>
      </c>
      <c r="E21" s="1"/>
    </row>
    <row r="22" spans="1:5" x14ac:dyDescent="0.25">
      <c r="A22" s="1"/>
      <c r="B22" s="64" t="s">
        <v>10</v>
      </c>
      <c r="C22" s="9">
        <f>-C21*'Fane 5. Individuelt eff. krav'!C9</f>
        <v>-2290.13898037429</v>
      </c>
      <c r="D22" s="14" t="s">
        <v>3</v>
      </c>
      <c r="E22" s="1"/>
    </row>
    <row r="23" spans="1:5" x14ac:dyDescent="0.25">
      <c r="A23" s="1"/>
      <c r="B23" s="64" t="s">
        <v>22</v>
      </c>
      <c r="C23" s="9">
        <f>-C21*'Fane 15. Nøgletal'!C21</f>
        <v>-20944.265109927641</v>
      </c>
      <c r="D23" s="14" t="s">
        <v>3</v>
      </c>
      <c r="E23" s="1"/>
    </row>
    <row r="24" spans="1:5" x14ac:dyDescent="0.25">
      <c r="A24" s="1"/>
      <c r="B24" s="76" t="s">
        <v>141</v>
      </c>
      <c r="C24" s="12">
        <f>SUM(C21:C23)*(1+'Fane 15. Nøgletal'!C10)^4</f>
        <v>1323758.0798171244</v>
      </c>
      <c r="D24" s="13" t="s">
        <v>3</v>
      </c>
      <c r="E24" s="1"/>
    </row>
    <row r="25" spans="1:5" x14ac:dyDescent="0.25">
      <c r="A25" s="1"/>
      <c r="B25" s="1"/>
      <c r="C25" s="1"/>
      <c r="D25" s="1"/>
      <c r="E25" s="1"/>
    </row>
    <row r="26" spans="1:5" ht="15" customHeight="1" x14ac:dyDescent="0.25">
      <c r="A26" s="1"/>
      <c r="B26" s="108" t="s">
        <v>180</v>
      </c>
      <c r="C26" s="109"/>
      <c r="D26" s="110"/>
      <c r="E26" s="1"/>
    </row>
    <row r="27" spans="1:5" ht="14.25" customHeight="1" x14ac:dyDescent="0.25">
      <c r="A27" s="1"/>
      <c r="B27" s="68" t="s">
        <v>179</v>
      </c>
      <c r="C27" s="9">
        <v>1047213.255496382</v>
      </c>
      <c r="D27" s="14" t="s">
        <v>3</v>
      </c>
      <c r="E27" s="1"/>
    </row>
    <row r="28" spans="1:5" x14ac:dyDescent="0.25">
      <c r="A28" s="1"/>
      <c r="B28" s="64" t="s">
        <v>10</v>
      </c>
      <c r="C28" s="9">
        <f>-C27*'Fane 5. Individuelt eff. krav'!C9</f>
        <v>-2290.13898037429</v>
      </c>
      <c r="D28" s="14" t="s">
        <v>3</v>
      </c>
      <c r="E28" s="1"/>
    </row>
    <row r="29" spans="1:5" x14ac:dyDescent="0.25">
      <c r="A29" s="1"/>
      <c r="B29" s="64" t="s">
        <v>22</v>
      </c>
      <c r="C29" s="9">
        <f>-C27*'Fane 15. Nøgletal'!C21</f>
        <v>-20944.265109927641</v>
      </c>
      <c r="D29" s="14" t="s">
        <v>3</v>
      </c>
      <c r="E29" s="1"/>
    </row>
    <row r="30" spans="1:5" x14ac:dyDescent="0.25">
      <c r="A30" s="1"/>
      <c r="B30" s="76" t="s">
        <v>181</v>
      </c>
      <c r="C30" s="12">
        <f>SUM(C27:C29)*(1+'Fane 15. Nøgletal'!C10)^5</f>
        <v>1411523.2405089997</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y7MV8GwCKRoK4BzfLjBdTUyKt6l50GsNMT7mpO47X+kfNVetlXvvPhL8zJH5ebisOarqzXjbuuDU/O3oq2IUxg==" saltValue="qJgjvZ/jfZfTLD30xjj7Jg=="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117</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x14ac:dyDescent="0.25">
      <c r="A8" s="1"/>
      <c r="B8" s="108" t="s">
        <v>66</v>
      </c>
      <c r="C8" s="109"/>
      <c r="D8" s="109"/>
      <c r="E8" s="109"/>
      <c r="F8" s="110"/>
      <c r="G8" s="1"/>
    </row>
    <row r="9" spans="1:7" ht="15" customHeight="1" x14ac:dyDescent="0.25">
      <c r="A9" s="1"/>
      <c r="B9" s="31" t="s">
        <v>67</v>
      </c>
      <c r="C9" s="27" t="s">
        <v>11</v>
      </c>
      <c r="D9" s="32"/>
      <c r="E9" s="27" t="s">
        <v>27</v>
      </c>
      <c r="F9" s="32"/>
      <c r="G9" s="1"/>
    </row>
    <row r="10" spans="1:7" ht="26.25" x14ac:dyDescent="0.25">
      <c r="A10" s="1"/>
      <c r="B10" s="70" t="s">
        <v>220</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WgX7t7igiyKU1HgeJjLv3n/0gisSeurTQ1azeSEnXX1VOzC0rZ/89pdJUnWkW0THYSMCVeQxo7J14uKFvs7QzA==" saltValue="T9ZHVBgu/AKVUvq06M4hfg=="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118</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8" t="s">
        <v>183</v>
      </c>
      <c r="C8" s="109"/>
      <c r="D8" s="109"/>
      <c r="E8" s="109"/>
      <c r="F8" s="110"/>
      <c r="G8" s="1"/>
    </row>
    <row r="9" spans="1:7" x14ac:dyDescent="0.25">
      <c r="A9" s="1"/>
      <c r="B9" s="31" t="s">
        <v>18</v>
      </c>
      <c r="C9" s="128" t="s">
        <v>11</v>
      </c>
      <c r="D9" s="129"/>
      <c r="E9" s="128" t="s">
        <v>27</v>
      </c>
      <c r="F9" s="129"/>
      <c r="G9" s="1"/>
    </row>
    <row r="10" spans="1:7" x14ac:dyDescent="0.25">
      <c r="A10" s="1"/>
      <c r="B10" s="70" t="s">
        <v>221</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214</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7"/>
      <c r="C14" s="127"/>
      <c r="D14" s="127"/>
      <c r="E14" s="127"/>
      <c r="F14" s="127"/>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7"/>
      <c r="C21" s="127"/>
      <c r="D21" s="127"/>
      <c r="E21" s="127"/>
      <c r="F21" s="127"/>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7"/>
      <c r="C27" s="127"/>
      <c r="D27" s="127"/>
      <c r="E27" s="127"/>
      <c r="F27" s="127"/>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4ILXlPQ6fFBc3psti/85DwLo/ZpYkPJNiQD8xsmnhRlh0SjykfkCt/jTkGfBKxu7EoO5FJojBFjx5yQ78gUbMA==" saltValue="18oUjWma2pprRvSdhSmMNQ=="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155</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281002284.02338183</v>
      </c>
      <c r="D9" s="8" t="s">
        <v>3</v>
      </c>
      <c r="E9" s="1"/>
    </row>
    <row r="10" spans="1:5" ht="17.25" customHeight="1" x14ac:dyDescent="0.25">
      <c r="A10" s="1"/>
      <c r="B10" s="64" t="s">
        <v>35</v>
      </c>
      <c r="C10" s="7">
        <f>'Fane 11.1. Varige tillæg'!C20</f>
        <v>801210.35589999997</v>
      </c>
      <c r="D10" s="8" t="s">
        <v>3</v>
      </c>
      <c r="E10" s="1"/>
    </row>
    <row r="11" spans="1:5" ht="17.25" customHeight="1" x14ac:dyDescent="0.25">
      <c r="A11" s="1"/>
      <c r="B11" s="64" t="s">
        <v>36</v>
      </c>
      <c r="C11" s="9">
        <f>'Fane 11.1. Varige tillæg'!E20</f>
        <v>2642594.2291999999</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22933308.79308138</v>
      </c>
      <c r="D16" s="8" t="s">
        <v>3</v>
      </c>
      <c r="E16" s="1"/>
    </row>
    <row r="17" spans="1:5" ht="17.25" customHeight="1" x14ac:dyDescent="0.25">
      <c r="A17" s="1"/>
      <c r="B17" s="64" t="s">
        <v>10</v>
      </c>
      <c r="C17" s="38">
        <f>-SUM(C9,C10:C16)*'Fane 5. Individuelt eff. krav'!C9</f>
        <v>-672204.57347974402</v>
      </c>
      <c r="D17" s="8" t="s">
        <v>3</v>
      </c>
      <c r="E17" s="1"/>
    </row>
    <row r="18" spans="1:5" ht="17.25" customHeight="1" x14ac:dyDescent="0.25">
      <c r="A18" s="1"/>
      <c r="B18" s="64" t="s">
        <v>22</v>
      </c>
      <c r="C18" s="38">
        <f>-'Fane 4.1. Gen. krav - drift'!C17</f>
        <v>-2154263.9000635576</v>
      </c>
      <c r="D18" s="8" t="s">
        <v>3</v>
      </c>
      <c r="E18" s="1"/>
    </row>
    <row r="19" spans="1:5" ht="17.25" customHeight="1" x14ac:dyDescent="0.25">
      <c r="A19" s="1"/>
      <c r="B19" s="64" t="s">
        <v>23</v>
      </c>
      <c r="C19" s="38">
        <f>-'Fane 4.2. Gen. krav - anlæg'!C17</f>
        <v>0</v>
      </c>
      <c r="D19" s="8" t="s">
        <v>3</v>
      </c>
      <c r="E19" s="43"/>
    </row>
    <row r="20" spans="1:5" ht="17.25" customHeight="1" x14ac:dyDescent="0.25">
      <c r="A20" s="1"/>
      <c r="B20" s="82" t="s">
        <v>21</v>
      </c>
      <c r="C20" s="10">
        <f>SUM(C9:C19)</f>
        <v>304552928.92801988</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8234481.1793914447</v>
      </c>
      <c r="D22" s="11" t="s">
        <v>3</v>
      </c>
      <c r="E22" s="1"/>
    </row>
    <row r="23" spans="1:5" ht="15" customHeight="1" x14ac:dyDescent="0.25">
      <c r="A23" s="1"/>
      <c r="B23" s="33" t="s">
        <v>42</v>
      </c>
      <c r="C23" s="28"/>
      <c r="D23" s="19"/>
      <c r="E23" s="1"/>
    </row>
    <row r="24" spans="1:5" ht="15" customHeight="1" x14ac:dyDescent="0.25">
      <c r="A24" s="1"/>
      <c r="B24" s="82" t="s">
        <v>42</v>
      </c>
      <c r="C24" s="10">
        <f>'Fane 12. Periodevise driftsomk.'!C12</f>
        <v>1248345.940659282</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2312227.4080590098</v>
      </c>
      <c r="D26" s="8" t="s">
        <v>3</v>
      </c>
      <c r="E26" s="1"/>
    </row>
    <row r="27" spans="1:5" ht="15" customHeight="1" x14ac:dyDescent="0.25">
      <c r="A27" s="1"/>
      <c r="B27" s="64" t="s">
        <v>38</v>
      </c>
      <c r="C27" s="38">
        <f>'Fane 11.2. Engangstillæg'!E14</f>
        <v>549586.19568822999</v>
      </c>
      <c r="D27" s="8" t="s">
        <v>3</v>
      </c>
      <c r="E27" s="1"/>
    </row>
    <row r="28" spans="1:5" ht="15" customHeight="1" x14ac:dyDescent="0.25">
      <c r="A28" s="1"/>
      <c r="B28" s="64" t="s">
        <v>92</v>
      </c>
      <c r="C28" s="38">
        <f>-C26*('Fane 15. Nøgletal'!C21+'Fane 5. Individuelt eff. krav'!C9)</f>
        <v>-51301.132472821431</v>
      </c>
      <c r="D28" s="8" t="s">
        <v>3</v>
      </c>
      <c r="E28" s="1"/>
    </row>
    <row r="29" spans="1:5" ht="15" customHeight="1" x14ac:dyDescent="0.25">
      <c r="A29" s="1"/>
      <c r="B29" s="64" t="s">
        <v>93</v>
      </c>
      <c r="C29" s="38">
        <f>-C27*('Fane 15. Nøgletal'!C16+'Fane 5. Individuelt eff. krav'!C9)</f>
        <v>-1201.8839173541919</v>
      </c>
      <c r="D29" s="8" t="s">
        <v>3</v>
      </c>
      <c r="E29" s="1"/>
    </row>
    <row r="30" spans="1:5" ht="15" customHeight="1" x14ac:dyDescent="0.25">
      <c r="A30" s="1"/>
      <c r="B30" s="67" t="s">
        <v>43</v>
      </c>
      <c r="C30" s="10">
        <f>SUM(C26:C29)</f>
        <v>2809310.5873570642</v>
      </c>
      <c r="D30" s="11" t="s">
        <v>3</v>
      </c>
      <c r="E30" s="1"/>
    </row>
    <row r="31" spans="1:5" x14ac:dyDescent="0.25">
      <c r="A31" s="1"/>
      <c r="B31" s="33" t="s">
        <v>69</v>
      </c>
      <c r="C31" s="28"/>
      <c r="D31" s="19"/>
      <c r="E31" s="1"/>
    </row>
    <row r="32" spans="1:5" x14ac:dyDescent="0.25">
      <c r="A32" s="1"/>
      <c r="B32" s="31" t="s">
        <v>79</v>
      </c>
      <c r="C32" s="62">
        <f>'Fane 7. Kontrol af ØR2023'!C27</f>
        <v>-4068030.9923355281</v>
      </c>
      <c r="D32" s="11" t="s">
        <v>3</v>
      </c>
      <c r="E32" s="1"/>
    </row>
    <row r="33" spans="1:5" ht="15" customHeight="1" x14ac:dyDescent="0.25">
      <c r="A33" s="1"/>
      <c r="B33" s="33" t="s">
        <v>154</v>
      </c>
      <c r="C33" s="28"/>
      <c r="D33" s="19"/>
      <c r="E33" s="1"/>
    </row>
    <row r="34" spans="1:5" x14ac:dyDescent="0.25">
      <c r="A34" s="1"/>
      <c r="B34" s="31" t="s">
        <v>154</v>
      </c>
      <c r="C34" s="10">
        <f>'Fane 9. Korrektion af ØR2023'!C16</f>
        <v>0</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0" t="s">
        <v>241</v>
      </c>
      <c r="C37" s="28"/>
      <c r="D37" s="19"/>
      <c r="E37" s="1"/>
    </row>
    <row r="38" spans="1:5" x14ac:dyDescent="0.25">
      <c r="A38" s="1"/>
      <c r="B38" s="67" t="s">
        <v>242</v>
      </c>
      <c r="C38" s="10">
        <v>1611339.7221551975</v>
      </c>
      <c r="D38" s="11" t="s">
        <v>3</v>
      </c>
      <c r="E38" s="1"/>
    </row>
    <row r="39" spans="1:5" x14ac:dyDescent="0.25">
      <c r="A39" s="1"/>
      <c r="B39" s="33" t="s">
        <v>71</v>
      </c>
      <c r="C39" s="45">
        <f>SUM(C34,C32,C24,C30,C22,C20,C36,C38)</f>
        <v>314388375.36524737</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UMDEhBMT7ncdOayWZhAyU6Eu+fHlb6BEp2DJpsa2gugHs9V8jaW4Qv92ddK3dyrh6J4oQPQWOQWlMXSfwijzSw==" saltValue="pRQMZ3XPbFDQAqo290Jod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6" t="s">
        <v>119</v>
      </c>
      <c r="C3" s="106"/>
      <c r="D3" s="1"/>
    </row>
    <row r="4" spans="1:4" ht="15" customHeight="1" x14ac:dyDescent="0.25">
      <c r="A4" s="1"/>
      <c r="B4" s="106"/>
      <c r="C4" s="106"/>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224</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213</v>
      </c>
      <c r="C15" s="60">
        <v>0</v>
      </c>
      <c r="D15" s="1"/>
    </row>
    <row r="16" spans="1:4" x14ac:dyDescent="0.25">
      <c r="A16" s="1"/>
      <c r="B16" s="59" t="s">
        <v>225</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ZaauAC0WL2bFlMuUPcH5l4SNUIohl1KTQUHUsFOcMFvXsqXcdqgmEXHIA3HheCYytADj0SGF2P8lLBw1pFP3SA==" saltValue="fnBtQJGvnvZgxvsAjTlHO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156</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304552928.92801988</v>
      </c>
      <c r="D9" s="8" t="s">
        <v>3</v>
      </c>
      <c r="E9" s="1"/>
    </row>
    <row r="10" spans="1:5" ht="15" customHeight="1" x14ac:dyDescent="0.25">
      <c r="A10" s="1"/>
      <c r="B10" s="26" t="s">
        <v>19</v>
      </c>
      <c r="C10" s="7">
        <f>C9*'Fane 15. Nøgletal'!C10</f>
        <v>20191859.187927719</v>
      </c>
      <c r="D10" s="8" t="s">
        <v>3</v>
      </c>
      <c r="E10" s="1"/>
    </row>
    <row r="11" spans="1:5" ht="15" customHeight="1" x14ac:dyDescent="0.25">
      <c r="A11" s="1"/>
      <c r="B11" s="26" t="s">
        <v>10</v>
      </c>
      <c r="C11" s="9">
        <f>-SUM(C9:C10)*'Fane 5. Individuelt eff. krav'!C9</f>
        <v>-710180.75261585577</v>
      </c>
      <c r="D11" s="8" t="s">
        <v>3</v>
      </c>
      <c r="E11" s="1"/>
    </row>
    <row r="12" spans="1:5" ht="15" customHeight="1" x14ac:dyDescent="0.25">
      <c r="A12" s="1"/>
      <c r="B12" s="26" t="s">
        <v>22</v>
      </c>
      <c r="C12" s="9">
        <f>-'Fane 4.1. Gen. krav - drift'!C22</f>
        <v>-2251149.7647050163</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321783457.59862673</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8780427.2815850973</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driftsomk.'!C18</f>
        <v>1241449.9482482646</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331805334.8284601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uDtE8entKeb6A8wvXurVmuKPxXOaC++KZ1ATBHWm8NG+jSoDhNQvSKTKdrUilQMff2q5gN/thglO+HV7lwevMg==" saltValue="GCXgbt0A5wyPc9WhAlolV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157</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321783457.59862673</v>
      </c>
      <c r="D9" s="8" t="s">
        <v>3</v>
      </c>
      <c r="E9" s="1"/>
    </row>
    <row r="10" spans="1:5" ht="15" customHeight="1" x14ac:dyDescent="0.25">
      <c r="A10" s="1"/>
      <c r="B10" s="26" t="s">
        <v>19</v>
      </c>
      <c r="C10" s="7">
        <f>SUM(C9:C9)*'Fane 15. Nøgletal'!C10</f>
        <v>21334243.238788951</v>
      </c>
      <c r="D10" s="8" t="s">
        <v>3</v>
      </c>
      <c r="E10" s="1"/>
    </row>
    <row r="11" spans="1:5" ht="15" customHeight="1" x14ac:dyDescent="0.25">
      <c r="A11" s="1"/>
      <c r="B11" s="26" t="s">
        <v>10</v>
      </c>
      <c r="C11" s="9">
        <f>-SUM(C9:C10)*'Fane 5. Individuelt eff. krav'!C9</f>
        <v>-750360.27038418688</v>
      </c>
      <c r="D11" s="8" t="s">
        <v>3</v>
      </c>
      <c r="E11" s="1"/>
    </row>
    <row r="12" spans="1:5" ht="15" customHeight="1" x14ac:dyDescent="0.25">
      <c r="A12" s="1"/>
      <c r="B12" s="26" t="s">
        <v>22</v>
      </c>
      <c r="C12" s="9">
        <f>-'Fane 4.1. Gen. krav - drift'!C27</f>
        <v>-2352392.9742228598</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340014947.59280866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9362569.6103541888</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driftsomk.'!C24</f>
        <v>1323758.0798171244</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350701275.28297997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OjqGJpYO16p7Sig8dsvChmQphEOnB0Ej3f7Q73wmRMpoDFfNTHeTGOnfc+T/15qPfa6An2ehSGkU37cIFCDAXQ==" saltValue="EZZFqzTRB94xncOEK+370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158</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340014947.59280866</v>
      </c>
      <c r="D9" s="8" t="s">
        <v>3</v>
      </c>
      <c r="E9" s="1"/>
    </row>
    <row r="10" spans="1:5" ht="15" customHeight="1" x14ac:dyDescent="0.25">
      <c r="A10" s="1"/>
      <c r="B10" s="26" t="s">
        <v>19</v>
      </c>
      <c r="C10" s="7">
        <f>SUM(C9:C9)*'Fane 15. Nøgletal'!C10</f>
        <v>22542991.025403213</v>
      </c>
      <c r="D10" s="8" t="s">
        <v>3</v>
      </c>
      <c r="E10" s="1"/>
    </row>
    <row r="11" spans="1:5" ht="15" customHeight="1" x14ac:dyDescent="0.25">
      <c r="A11" s="1"/>
      <c r="B11" s="26" t="s">
        <v>10</v>
      </c>
      <c r="C11" s="9">
        <f>-SUM(C9:C10)*'Fane 5. Individuelt eff. krav'!C9</f>
        <v>-792873.90941222163</v>
      </c>
      <c r="D11" s="8" t="s">
        <v>3</v>
      </c>
      <c r="E11" s="1"/>
    </row>
    <row r="12" spans="1:5" ht="15" customHeight="1" x14ac:dyDescent="0.25">
      <c r="A12" s="1"/>
      <c r="B12" s="26" t="s">
        <v>22</v>
      </c>
      <c r="C12" s="9">
        <f>-'Fane 4.1. Gen. krav - drift'!C32</f>
        <v>-2458189.4958455591</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359306875.2129541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9983307.9755206723</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driftsomk.'!C30</f>
        <v>1411523.2405089997</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370701706.42898375</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2Vp8hVk9zVUR54HyV8FVRP8Og8V76H8TGjPDoyYAZgLt7VxgsxRqmryoS661vDJxyg04S8rA8qaFuajJovSjFg==" saltValue="/kbQtJq2vssgWmhoQx062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6" t="s">
        <v>161</v>
      </c>
      <c r="C3" s="106"/>
      <c r="D3" s="106"/>
      <c r="E3" s="1"/>
    </row>
    <row r="4" spans="1:5" ht="15" customHeight="1" x14ac:dyDescent="0.25">
      <c r="A4" s="1"/>
      <c r="B4" s="106"/>
      <c r="C4" s="106"/>
      <c r="D4" s="106"/>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255415478.62189379</v>
      </c>
      <c r="D9" s="8" t="s">
        <v>3</v>
      </c>
      <c r="E9" s="1"/>
    </row>
    <row r="10" spans="1:5" ht="15" customHeight="1" x14ac:dyDescent="0.25">
      <c r="A10" s="1"/>
      <c r="B10" s="64" t="s">
        <v>35</v>
      </c>
      <c r="C10" s="7">
        <v>2240539.4704</v>
      </c>
      <c r="D10" s="8" t="s">
        <v>3</v>
      </c>
      <c r="E10" s="1"/>
    </row>
    <row r="11" spans="1:5" ht="15" customHeight="1" x14ac:dyDescent="0.25">
      <c r="A11" s="1"/>
      <c r="B11" s="64" t="s">
        <v>36</v>
      </c>
      <c r="C11" s="9">
        <v>4779522.4063999997</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21204791.67229446</v>
      </c>
      <c r="D16" s="8" t="s">
        <v>3</v>
      </c>
      <c r="E16" s="1"/>
    </row>
    <row r="17" spans="1:5" ht="15" customHeight="1" x14ac:dyDescent="0.25">
      <c r="A17" s="1"/>
      <c r="B17" s="64" t="s">
        <v>10</v>
      </c>
      <c r="C17" s="38">
        <v>-620289.87668150861</v>
      </c>
      <c r="D17" s="8" t="s">
        <v>3</v>
      </c>
      <c r="E17" s="1"/>
    </row>
    <row r="18" spans="1:5" ht="15" customHeight="1" x14ac:dyDescent="0.25">
      <c r="A18" s="1"/>
      <c r="B18" s="64" t="s">
        <v>22</v>
      </c>
      <c r="C18" s="38">
        <v>-2017758.2709249388</v>
      </c>
      <c r="D18" s="8" t="s">
        <v>3</v>
      </c>
      <c r="E18" s="1"/>
    </row>
    <row r="19" spans="1:5" ht="15" customHeight="1" x14ac:dyDescent="0.25">
      <c r="A19" s="1"/>
      <c r="B19" s="64" t="s">
        <v>23</v>
      </c>
      <c r="C19" s="38">
        <v>0</v>
      </c>
      <c r="D19" s="8" t="s">
        <v>3</v>
      </c>
      <c r="E19" s="43"/>
    </row>
    <row r="20" spans="1:5" ht="15" customHeight="1" x14ac:dyDescent="0.25">
      <c r="A20" s="1"/>
      <c r="B20" s="82" t="s">
        <v>21</v>
      </c>
      <c r="C20" s="10">
        <v>281002284.02338183</v>
      </c>
      <c r="D20" s="11" t="s">
        <v>3</v>
      </c>
      <c r="E20" s="1"/>
    </row>
    <row r="21" spans="1:5" ht="15" customHeight="1" x14ac:dyDescent="0.25">
      <c r="A21" s="1"/>
      <c r="B21" s="33" t="s">
        <v>12</v>
      </c>
      <c r="C21" s="28"/>
      <c r="D21" s="19"/>
      <c r="E21" s="1"/>
    </row>
    <row r="22" spans="1:5" ht="15" customHeight="1" x14ac:dyDescent="0.25">
      <c r="A22" s="1"/>
      <c r="B22" s="31" t="s">
        <v>12</v>
      </c>
      <c r="C22" s="10">
        <v>7453851.2682286007</v>
      </c>
      <c r="D22" s="11" t="s">
        <v>3</v>
      </c>
      <c r="E22" s="1"/>
    </row>
    <row r="23" spans="1:5" ht="15" customHeight="1" x14ac:dyDescent="0.25">
      <c r="A23" s="1"/>
      <c r="B23" s="33" t="s">
        <v>42</v>
      </c>
      <c r="C23" s="28"/>
      <c r="D23" s="19"/>
      <c r="E23" s="1"/>
    </row>
    <row r="24" spans="1:5" ht="15" customHeight="1" x14ac:dyDescent="0.25">
      <c r="A24" s="1"/>
      <c r="B24" s="82" t="s">
        <v>42</v>
      </c>
      <c r="C24" s="10">
        <v>1155020.3003879355</v>
      </c>
      <c r="D24" s="11" t="s">
        <v>3</v>
      </c>
      <c r="E24" s="1"/>
    </row>
    <row r="25" spans="1:5" x14ac:dyDescent="0.25">
      <c r="A25" s="1"/>
      <c r="B25" s="41" t="s">
        <v>41</v>
      </c>
      <c r="C25" s="39"/>
      <c r="D25" s="40"/>
      <c r="E25" s="1"/>
    </row>
    <row r="26" spans="1:5" ht="15" customHeight="1" x14ac:dyDescent="0.25">
      <c r="A26" s="1"/>
      <c r="B26" s="64" t="s">
        <v>89</v>
      </c>
      <c r="C26" s="71">
        <v>2944304.4491078397</v>
      </c>
      <c r="D26" s="8" t="s">
        <v>3</v>
      </c>
      <c r="E26" s="1"/>
    </row>
    <row r="27" spans="1:5" ht="15" customHeight="1" x14ac:dyDescent="0.25">
      <c r="A27" s="1"/>
      <c r="B27" s="64" t="s">
        <v>38</v>
      </c>
      <c r="C27" s="71">
        <v>262828.94399999996</v>
      </c>
      <c r="D27" s="8" t="s">
        <v>3</v>
      </c>
      <c r="E27" s="1"/>
    </row>
    <row r="28" spans="1:5" ht="15" customHeight="1" x14ac:dyDescent="0.25">
      <c r="A28" s="1"/>
      <c r="B28" s="64" t="s">
        <v>92</v>
      </c>
      <c r="C28" s="71">
        <v>-65324.955520181255</v>
      </c>
      <c r="D28" s="8" t="s">
        <v>3</v>
      </c>
      <c r="E28" s="1"/>
    </row>
    <row r="29" spans="1:5" ht="15" customHeight="1" x14ac:dyDescent="0.25">
      <c r="A29" s="1"/>
      <c r="B29" s="64" t="s">
        <v>93</v>
      </c>
      <c r="C29" s="71">
        <v>-574.77768416873403</v>
      </c>
      <c r="D29" s="8" t="s">
        <v>3</v>
      </c>
      <c r="E29" s="1"/>
    </row>
    <row r="30" spans="1:5" ht="15" customHeight="1" x14ac:dyDescent="0.25">
      <c r="A30" s="1"/>
      <c r="B30" s="67" t="s">
        <v>43</v>
      </c>
      <c r="C30" s="10">
        <v>3141233.6599034895</v>
      </c>
      <c r="D30" s="11" t="s">
        <v>3</v>
      </c>
      <c r="E30" s="1"/>
    </row>
    <row r="31" spans="1:5" ht="15" customHeight="1" x14ac:dyDescent="0.25">
      <c r="A31" s="1"/>
      <c r="B31" s="33" t="s">
        <v>69</v>
      </c>
      <c r="C31" s="28"/>
      <c r="D31" s="19"/>
      <c r="E31" s="1"/>
    </row>
    <row r="32" spans="1:5" ht="15" customHeight="1" x14ac:dyDescent="0.25">
      <c r="A32" s="1"/>
      <c r="B32" s="31" t="s">
        <v>79</v>
      </c>
      <c r="C32" s="10">
        <v>-5673058.5</v>
      </c>
      <c r="D32" s="11" t="s">
        <v>3</v>
      </c>
      <c r="E32" s="1"/>
    </row>
    <row r="33" spans="1:5" x14ac:dyDescent="0.25">
      <c r="A33" s="1"/>
      <c r="B33" s="33" t="s">
        <v>128</v>
      </c>
      <c r="C33" s="28"/>
      <c r="D33" s="19"/>
      <c r="E33" s="1"/>
    </row>
    <row r="34" spans="1:5" ht="15.4" customHeight="1" x14ac:dyDescent="0.25">
      <c r="A34" s="1"/>
      <c r="B34" s="31" t="s">
        <v>128</v>
      </c>
      <c r="C34" s="10">
        <v>0</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3" t="s">
        <v>65</v>
      </c>
      <c r="C37" s="45">
        <v>287079330.75190187</v>
      </c>
      <c r="D37" s="30" t="s">
        <v>3</v>
      </c>
      <c r="E37" s="1"/>
    </row>
    <row r="38" spans="1:5" ht="30" customHeight="1" x14ac:dyDescent="0.25">
      <c r="A38" s="1"/>
      <c r="B38" s="107" t="s">
        <v>223</v>
      </c>
      <c r="C38" s="107"/>
      <c r="D38" s="107"/>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TpynBUUtkKoY5WSd/zZvpb7Hs8ZNY7bVjU8yG23WBMhPQK3gqelSx3o1KihUNBYGHNeRkbeqtAZMAhXYxbLvxA==" saltValue="faiY5bdTAPmIIXDASBp7Rg=="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6" t="s">
        <v>56</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5"/>
      <c r="C6" s="75"/>
      <c r="D6" s="75"/>
      <c r="E6" s="1"/>
    </row>
    <row r="7" spans="1:5" x14ac:dyDescent="0.25">
      <c r="A7" s="1"/>
      <c r="B7" s="1"/>
      <c r="C7" s="1"/>
      <c r="D7" s="1"/>
      <c r="E7" s="1"/>
    </row>
    <row r="8" spans="1:5" x14ac:dyDescent="0.25">
      <c r="A8" s="1"/>
      <c r="B8" s="108" t="s">
        <v>123</v>
      </c>
      <c r="C8" s="109"/>
      <c r="D8" s="110"/>
      <c r="E8" s="1"/>
    </row>
    <row r="9" spans="1:5" x14ac:dyDescent="0.25">
      <c r="A9" s="1"/>
      <c r="B9" s="65" t="s">
        <v>88</v>
      </c>
      <c r="C9" s="23">
        <v>98466339.033393189</v>
      </c>
      <c r="D9" s="14" t="s">
        <v>3</v>
      </c>
      <c r="E9" s="1"/>
    </row>
    <row r="10" spans="1:5" x14ac:dyDescent="0.25">
      <c r="A10" s="1"/>
      <c r="B10" s="65" t="s">
        <v>125</v>
      </c>
      <c r="C10" s="23">
        <f>('Fane 3. Omkostninger i ØR2024'!C10+'Fane 3. Omkostninger i ØR2024'!C12+'Fane 3. Omkostninger i ØR2024'!C14)*(1+'Fane 15. Nøgletal'!C9)</f>
        <v>2421575.0596083198</v>
      </c>
      <c r="D10" s="14" t="s">
        <v>3</v>
      </c>
      <c r="E10" s="1"/>
    </row>
    <row r="11" spans="1:5" x14ac:dyDescent="0.25">
      <c r="A11" s="1"/>
      <c r="B11" s="65" t="s">
        <v>131</v>
      </c>
      <c r="C11" s="23">
        <f>C9*'Fane 15. Nøgletal'!C21+C10*'Fane 15. Nøgletal'!C21</f>
        <v>2017758.2818600303</v>
      </c>
      <c r="D11" s="14" t="s">
        <v>3</v>
      </c>
      <c r="E11" s="1"/>
    </row>
    <row r="12" spans="1:5" x14ac:dyDescent="0.25">
      <c r="A12" s="1"/>
      <c r="B12" s="33"/>
      <c r="C12" s="28"/>
      <c r="D12" s="19"/>
      <c r="E12" s="1"/>
    </row>
    <row r="13" spans="1:5" x14ac:dyDescent="0.25">
      <c r="A13" s="1"/>
      <c r="B13" s="1"/>
      <c r="C13" s="1"/>
      <c r="D13" s="1"/>
      <c r="E13" s="1"/>
    </row>
    <row r="14" spans="1:5" x14ac:dyDescent="0.25">
      <c r="A14" s="1"/>
      <c r="B14" s="108" t="s">
        <v>124</v>
      </c>
      <c r="C14" s="109"/>
      <c r="D14" s="110"/>
      <c r="E14" s="1"/>
    </row>
    <row r="15" spans="1:5" x14ac:dyDescent="0.25">
      <c r="A15" s="1"/>
      <c r="B15" s="65" t="s">
        <v>133</v>
      </c>
      <c r="C15" s="23">
        <f>(C9+C10-C11)*(1+'Fane 15. Nøgletal'!C9)</f>
        <v>106858864.40068172</v>
      </c>
      <c r="D15" s="14" t="s">
        <v>3</v>
      </c>
      <c r="E15" s="1"/>
    </row>
    <row r="16" spans="1:5" x14ac:dyDescent="0.25">
      <c r="A16" s="1"/>
      <c r="B16" s="65" t="s">
        <v>184</v>
      </c>
      <c r="C16" s="23">
        <f>('Fane 2.1. Økonomisk ramme 2025'!C10+'Fane 2.1. Økonomisk ramme 2025'!C12+'Fane 2.1. Økonomisk ramme 2025'!C14)*(1+'Fane 15. Nøgletal'!C10)</f>
        <v>854330.60249616997</v>
      </c>
      <c r="D16" s="14" t="s">
        <v>3</v>
      </c>
      <c r="E16" s="1"/>
    </row>
    <row r="17" spans="1:5" x14ac:dyDescent="0.25">
      <c r="A17" s="1"/>
      <c r="B17" s="65" t="s">
        <v>132</v>
      </c>
      <c r="C17" s="23">
        <f>C15*'Fane 15. Nøgletal'!C21+C16*'Fane 15. Nøgletal'!C21</f>
        <v>2154263.9000635576</v>
      </c>
      <c r="D17" s="14" t="s">
        <v>3</v>
      </c>
      <c r="E17" s="1"/>
    </row>
    <row r="18" spans="1:5" x14ac:dyDescent="0.25">
      <c r="A18" s="1"/>
      <c r="B18" s="33"/>
      <c r="C18" s="28"/>
      <c r="D18" s="19"/>
      <c r="E18" s="1"/>
    </row>
    <row r="19" spans="1:5" x14ac:dyDescent="0.25">
      <c r="A19" s="1"/>
      <c r="B19" s="1"/>
      <c r="C19" s="63"/>
      <c r="D19" s="1"/>
      <c r="E19" s="1"/>
    </row>
    <row r="20" spans="1:5" x14ac:dyDescent="0.25">
      <c r="A20" s="1"/>
      <c r="B20" s="108" t="s">
        <v>145</v>
      </c>
      <c r="C20" s="109"/>
      <c r="D20" s="110"/>
      <c r="E20" s="1"/>
    </row>
    <row r="21" spans="1:5" x14ac:dyDescent="0.25">
      <c r="A21" s="1"/>
      <c r="B21" s="65" t="s">
        <v>189</v>
      </c>
      <c r="C21" s="23">
        <f>(C15+C16-C17)*(1+'Fane 15. Nøgletal'!C10)</f>
        <v>112557488.23525082</v>
      </c>
      <c r="D21" s="14" t="s">
        <v>3</v>
      </c>
      <c r="E21" s="1"/>
    </row>
    <row r="22" spans="1:5" x14ac:dyDescent="0.25">
      <c r="A22" s="1"/>
      <c r="B22" s="65" t="s">
        <v>196</v>
      </c>
      <c r="C22" s="23">
        <f>C21*'Fane 15. Nøgletal'!C21</f>
        <v>2251149.7647050163</v>
      </c>
      <c r="D22" s="14" t="s">
        <v>3</v>
      </c>
      <c r="E22" s="1"/>
    </row>
    <row r="23" spans="1:5" x14ac:dyDescent="0.25">
      <c r="A23" s="1"/>
      <c r="B23" s="33"/>
      <c r="C23" s="28"/>
      <c r="D23" s="19"/>
      <c r="E23" s="1"/>
    </row>
    <row r="24" spans="1:5" x14ac:dyDescent="0.25">
      <c r="A24" s="1"/>
      <c r="B24" s="1"/>
      <c r="C24" s="1"/>
      <c r="D24" s="1"/>
      <c r="E24" s="1"/>
    </row>
    <row r="25" spans="1:5" x14ac:dyDescent="0.25">
      <c r="A25" s="1"/>
      <c r="B25" s="108" t="s">
        <v>187</v>
      </c>
      <c r="C25" s="109"/>
      <c r="D25" s="110"/>
      <c r="E25" s="1"/>
    </row>
    <row r="26" spans="1:5" x14ac:dyDescent="0.25">
      <c r="A26" s="1"/>
      <c r="B26" s="65" t="s">
        <v>190</v>
      </c>
      <c r="C26" s="23">
        <f>(C21-C22)*(1+'Fane 15. Nøgletal'!C10)</f>
        <v>117619648.71114299</v>
      </c>
      <c r="D26" s="14" t="s">
        <v>3</v>
      </c>
      <c r="E26" s="1"/>
    </row>
    <row r="27" spans="1:5" x14ac:dyDescent="0.25">
      <c r="A27" s="1"/>
      <c r="B27" s="65" t="s">
        <v>194</v>
      </c>
      <c r="C27" s="23">
        <f>C26*'Fane 15. Nøgletal'!C21</f>
        <v>2352392.9742228598</v>
      </c>
      <c r="D27" s="14" t="s">
        <v>3</v>
      </c>
      <c r="E27" s="1"/>
    </row>
    <row r="28" spans="1:5" x14ac:dyDescent="0.25">
      <c r="A28" s="1"/>
      <c r="B28" s="33"/>
      <c r="C28" s="28"/>
      <c r="D28" s="19"/>
      <c r="E28" s="1"/>
    </row>
    <row r="29" spans="1:5" x14ac:dyDescent="0.25">
      <c r="A29" s="1"/>
      <c r="B29" s="1"/>
      <c r="C29" s="1"/>
      <c r="D29" s="1"/>
      <c r="E29" s="1"/>
    </row>
    <row r="30" spans="1:5" x14ac:dyDescent="0.25">
      <c r="A30" s="1"/>
      <c r="B30" s="108" t="s">
        <v>188</v>
      </c>
      <c r="C30" s="109"/>
      <c r="D30" s="110"/>
      <c r="E30" s="1"/>
    </row>
    <row r="31" spans="1:5" x14ac:dyDescent="0.25">
      <c r="A31" s="1"/>
      <c r="B31" s="65" t="s">
        <v>191</v>
      </c>
      <c r="C31" s="23">
        <f>(C26-C27)*(1+'Fane 15. Nøgletal'!C10)</f>
        <v>122909474.79227795</v>
      </c>
      <c r="D31" s="14" t="s">
        <v>3</v>
      </c>
      <c r="E31" s="1"/>
    </row>
    <row r="32" spans="1:5" x14ac:dyDescent="0.25">
      <c r="A32" s="1"/>
      <c r="B32" s="65" t="s">
        <v>195</v>
      </c>
      <c r="C32" s="23">
        <f>C31*'Fane 15. Nøgletal'!C21</f>
        <v>2458189.4958455591</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VFIqsJujnH3OWbWBxEXOunp5+lniznA4DDh2acsRM0mjk+3Nw6BV6JhJsTHBE+3keDImt5O/fH8nQxOUD3DAXA==" saltValue="dy5paYha0HO+KFBIc3vswg=="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1" t="s">
        <v>57</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35">
      <c r="A6" s="1"/>
      <c r="B6" s="69"/>
      <c r="C6" s="69"/>
      <c r="D6" s="69"/>
      <c r="E6" s="1"/>
    </row>
    <row r="7" spans="1:5" x14ac:dyDescent="0.25">
      <c r="A7" s="1"/>
      <c r="B7" s="1"/>
      <c r="C7" s="1"/>
      <c r="D7" s="1"/>
      <c r="E7" s="1"/>
    </row>
    <row r="8" spans="1:5" x14ac:dyDescent="0.25">
      <c r="A8" s="1"/>
      <c r="B8" s="108" t="s">
        <v>147</v>
      </c>
      <c r="C8" s="109"/>
      <c r="D8" s="110"/>
      <c r="E8" s="1"/>
    </row>
    <row r="9" spans="1:5" x14ac:dyDescent="0.25">
      <c r="A9" s="1"/>
      <c r="B9" s="65" t="s">
        <v>134</v>
      </c>
      <c r="C9" s="23">
        <v>190559178.13308111</v>
      </c>
      <c r="D9" s="14" t="s">
        <v>3</v>
      </c>
      <c r="E9" s="1"/>
    </row>
    <row r="10" spans="1:5" x14ac:dyDescent="0.25">
      <c r="A10" s="1"/>
      <c r="B10" s="65" t="s">
        <v>126</v>
      </c>
      <c r="C10" s="23">
        <f>('Fane 3. Omkostninger i ØR2024'!C11+'Fane 3. Omkostninger i ØR2024'!C13+'Fane 3. Omkostninger i ØR2024'!C15)*(1+'Fane 15. Nøgletal'!C9)</f>
        <v>5165707.8168371199</v>
      </c>
      <c r="D10" s="14" t="s">
        <v>3</v>
      </c>
      <c r="E10" s="1"/>
    </row>
    <row r="11" spans="1:5" x14ac:dyDescent="0.25">
      <c r="A11" s="1"/>
      <c r="B11" s="65" t="s">
        <v>135</v>
      </c>
      <c r="C11" s="2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8" t="s">
        <v>146</v>
      </c>
      <c r="C14" s="109"/>
      <c r="D14" s="110"/>
      <c r="E14" s="1"/>
    </row>
    <row r="15" spans="1:5" x14ac:dyDescent="0.25">
      <c r="A15" s="1"/>
      <c r="B15" s="65" t="s">
        <v>136</v>
      </c>
      <c r="C15" s="23">
        <f>(C9+C10-C11)*(1+'Fane 15. Nøgletal'!C9)</f>
        <v>211539456.73467162</v>
      </c>
      <c r="D15" s="14" t="s">
        <v>3</v>
      </c>
      <c r="E15" s="1"/>
    </row>
    <row r="16" spans="1:5" x14ac:dyDescent="0.25">
      <c r="A16" s="1"/>
      <c r="B16" s="65" t="s">
        <v>185</v>
      </c>
      <c r="C16" s="23">
        <f>('Fane 2.1. Økonomisk ramme 2025'!C11+'Fane 2.1. Økonomisk ramme 2025'!C13+'Fane 2.1. Økonomisk ramme 2025'!C15)*(1+'Fane 15. Nøgletal'!C10)</f>
        <v>2817798.2265959601</v>
      </c>
      <c r="D16" s="14" t="s">
        <v>3</v>
      </c>
      <c r="E16" s="1"/>
    </row>
    <row r="17" spans="1:5" x14ac:dyDescent="0.25">
      <c r="A17" s="1"/>
      <c r="B17" s="65" t="s">
        <v>137</v>
      </c>
      <c r="C17" s="2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8" t="s">
        <v>82</v>
      </c>
      <c r="C20" s="109"/>
      <c r="D20" s="110"/>
      <c r="E20" s="1"/>
    </row>
    <row r="21" spans="1:5" x14ac:dyDescent="0.25">
      <c r="A21" s="1"/>
      <c r="B21" s="65" t="s">
        <v>192</v>
      </c>
      <c r="C21" s="23">
        <f>(C15+C16-C17)*(1+'Fane 15. Nøgletal'!C10)</f>
        <v>228569140.96519965</v>
      </c>
      <c r="D21" s="14" t="s">
        <v>3</v>
      </c>
      <c r="E21" s="1"/>
    </row>
    <row r="22" spans="1:5" x14ac:dyDescent="0.25">
      <c r="A22" s="1"/>
      <c r="B22" s="65" t="s">
        <v>197</v>
      </c>
      <c r="C22" s="2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8" t="s">
        <v>138</v>
      </c>
      <c r="C25" s="109"/>
      <c r="D25" s="110"/>
      <c r="E25" s="1"/>
    </row>
    <row r="26" spans="1:5" x14ac:dyDescent="0.25">
      <c r="A26" s="1"/>
      <c r="B26" s="65" t="s">
        <v>193</v>
      </c>
      <c r="C26" s="23">
        <f>(C21-C22)*(1+'Fane 15. Nøgletal'!C10)</f>
        <v>243723275.01119238</v>
      </c>
      <c r="D26" s="14" t="s">
        <v>3</v>
      </c>
      <c r="E26" s="1"/>
    </row>
    <row r="27" spans="1:5" x14ac:dyDescent="0.25">
      <c r="A27" s="1"/>
      <c r="B27" s="65" t="s">
        <v>198</v>
      </c>
      <c r="C27" s="2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8" t="s">
        <v>163</v>
      </c>
      <c r="C30" s="109"/>
      <c r="D30" s="110"/>
      <c r="E30" s="1"/>
    </row>
    <row r="31" spans="1:5" x14ac:dyDescent="0.25">
      <c r="A31" s="1"/>
      <c r="B31" s="65" t="s">
        <v>200</v>
      </c>
      <c r="C31" s="23">
        <f>(C26-C27)*(1+'Fane 15. Nøgletal'!C10)</f>
        <v>259882128.14443445</v>
      </c>
      <c r="D31" s="14" t="s">
        <v>3</v>
      </c>
      <c r="E31" s="1"/>
    </row>
    <row r="32" spans="1:5" x14ac:dyDescent="0.25">
      <c r="A32" s="1"/>
      <c r="B32" s="65" t="s">
        <v>199</v>
      </c>
      <c r="C32" s="2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EAY3diL0sVbgMJ8dqVvITa/xyiC28zPp/1r4zFzEgzE3HzijLdEXEy6gwQ1hBZ/rZcmrcu3OhcTOPh2sKNPnsA==" saltValue="Bm1w0zIyAr/6yuFjM+1//A=="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4" t="s">
        <v>44</v>
      </c>
      <c r="C3" s="104"/>
      <c r="D3" s="1"/>
    </row>
    <row r="4" spans="1:4" ht="15" customHeight="1" x14ac:dyDescent="0.25">
      <c r="A4" s="1"/>
      <c r="B4" s="104"/>
      <c r="C4" s="10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8" t="s">
        <v>10</v>
      </c>
      <c r="C8" s="110"/>
      <c r="D8" s="1"/>
    </row>
    <row r="9" spans="1:4" x14ac:dyDescent="0.25">
      <c r="A9" s="1"/>
      <c r="B9" s="65" t="s">
        <v>164</v>
      </c>
      <c r="C9" s="22">
        <v>2.1868888388819692E-3</v>
      </c>
      <c r="D9" s="1"/>
    </row>
    <row r="10" spans="1:4" x14ac:dyDescent="0.25">
      <c r="A10" s="1"/>
      <c r="B10" s="33"/>
      <c r="C10" s="19"/>
      <c r="D10" s="1"/>
    </row>
    <row r="11" spans="1:4" x14ac:dyDescent="0.25">
      <c r="A11" s="1"/>
      <c r="B11" s="112" t="s">
        <v>218</v>
      </c>
      <c r="C11" s="113"/>
      <c r="D11" s="1"/>
    </row>
    <row r="12" spans="1:4" x14ac:dyDescent="0.25">
      <c r="A12" s="1"/>
      <c r="B12" s="114"/>
      <c r="C12" s="115"/>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KIeTfAb9hp2g7OzzBUIHEjyxkXmQ2bUOg75a2Yql4EU9WDycmXXyt7/bU+aUeSvG/aC+rIWnIl/VpGuYGE36BQ==" saltValue="EMbtk2i2Smwqxy0oIyC8Yg=="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2024-05-06T07:45:39Z</cp:lastPrinted>
  <dcterms:created xsi:type="dcterms:W3CDTF">2016-06-02T08:51:18Z</dcterms:created>
  <dcterms:modified xsi:type="dcterms:W3CDTF">2024-10-08T10:50:12Z</dcterms:modified>
</cp:coreProperties>
</file>