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Herlev AS (V089)\ØR2023\"/>
    </mc:Choice>
  </mc:AlternateContent>
  <xr:revisionPtr revIDLastSave="0" documentId="13_ncr:1_{F23CCF21-8AF9-4B8E-9C2F-1DE6AA07D35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Korrektion af ØR2021" sheetId="41" r:id="rId13"/>
    <sheet name="Fane 10. Anlægsprojekter (§19) " sheetId="11" r:id="rId14"/>
    <sheet name="Fane 11.1. Varige tillæg" sheetId="37" r:id="rId15"/>
    <sheet name="Fane 11.2. Engangstillæg" sheetId="39" r:id="rId16"/>
    <sheet name="Fane 12. Tilknyttet virksomhed" sheetId="29" r:id="rId17"/>
    <sheet name="Fane 13. Bortfald" sheetId="21" r:id="rId18"/>
    <sheet name="Fane 14. Nøgletal" sheetId="26" r:id="rId19"/>
  </sheets>
  <externalReferences>
    <externalReference r:id="rId20"/>
    <externalReference r:id="rId21"/>
    <externalReference r:id="rId22"/>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iterate="1" iterateCount="1"/>
</workbook>
</file>

<file path=xl/calcChain.xml><?xml version="1.0" encoding="utf-8"?>
<calcChain xmlns="http://schemas.openxmlformats.org/spreadsheetml/2006/main">
  <c r="E13" i="41" l="1"/>
  <c r="E11" i="41" l="1"/>
  <c r="C31" i="2" s="1"/>
  <c r="E12" i="41" l="1"/>
  <c r="E32" i="27" l="1"/>
  <c r="C19" i="23"/>
  <c r="C19" i="22"/>
  <c r="C19" i="15"/>
  <c r="C33" i="2"/>
  <c r="G18" i="40" l="1"/>
  <c r="E25" i="32" l="1"/>
  <c r="E29" i="32" s="1"/>
  <c r="E31" i="32" s="1"/>
  <c r="C17" i="15" l="1"/>
  <c r="C29" i="2"/>
  <c r="F10" i="11"/>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34" i="2" s="1"/>
  <c r="E33" i="27"/>
  <c r="C11" i="22"/>
  <c r="G47" i="36"/>
  <c r="C8" i="15" l="1"/>
  <c r="C9" i="15" s="1"/>
  <c r="C10" i="15" s="1"/>
  <c r="G48" i="36"/>
  <c r="G52" i="36" s="1"/>
  <c r="G53" i="36" s="1"/>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<sst xmlns="http://schemas.openxmlformats.org/spreadsheetml/2006/main" count="526" uniqueCount="266">
  <si>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</si>
  <si>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</si>
  <si>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</si>
  <si>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</si>
  <si>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</si>
  <si>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</si>
  <si>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</si>
  <si>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</si>
  <si>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</si>
  <si>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</si>
  <si>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</si>
  <si>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</si>
  <si>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</si>
  <si>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</si>
  <si>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</si>
  <si>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</si>
  <si>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</si>
  <si>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</si>
  <si>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</si>
  <si>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</si>
  <si>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</si>
  <si>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</si>
  <si>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</si>
  <si>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</si>
  <si>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</si>
  <si>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</si>
  <si>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</si>
  <si>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</si>
  <si>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</si>
  <si>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</si>
  <si>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</si>
  <si>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</si>
  <si>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</si>
  <si>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</si>
  <si>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</si>
  <si>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</si>
  <si>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</si>
  <si>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</si>
  <si>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</si>
  <si>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</si>
  <si>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</si>
  <si>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</si>
  <si>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</si>
  <si>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</si>
  <si>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</si>
  <si>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</si>
  <si>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</si>
  <si>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</si>
  <si>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</si>
  <si>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</si>
  <si>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</si>
  <si>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</si>
  <si>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</si>
  <si>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</si>
  <si>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</si>
  <si>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</si>
  <si>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</si>
  <si>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</si>
  <si>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</si>
  <si>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</si>
  <si>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</si>
  <si>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</si>
  <si>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</si>
  <si>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</si>
  <si>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</si>
  <si>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</si>
  <si>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</si>
  <si>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</si>
  <si>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</si>
  <si>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</si>
  <si>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</si>
  <si>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</si>
  <si>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</si>
  <si>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</si>
  <si>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</si>
  <si>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</si>
  <si>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</si>
  <si>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</si>
  <si>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</si>
  <si>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</si>
  <si>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</si>
  <si>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</si>
  <si>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</si>
  <si>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</si>
  <si>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</si>
  <si>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</si>
  <si>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</si>
  <si>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</si>
  <si>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</si>
  <si>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</si>
  <si>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</si>
  <si>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</si>
  <si>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</si>
  <si>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</si>
  <si>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</si>
  <si>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</si>
  <si>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</si>
  <si>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</si>
  <si>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</si>
  <si>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</si>
  <si>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</si>
  <si>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</si>
  <si>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</si>
  <si>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</si>
  <si>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</si>
  <si>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</si>
  <si>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</si>
  <si>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</si>
  <si>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</si>
  <si>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</si>
  <si>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</si>
  <si>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</si>
  <si>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</si>
  <si>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</si>
  <si>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</si>
  <si>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</si>
  <si>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</si>
  <si>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</si>
  <si>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</si>
  <si>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</si>
  <si>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</si>
  <si>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</si>
  <si>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</si>
  <si>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</si>
  <si>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</si>
  <si>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</si>
  <si>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</si>
  <si>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</si>
  <si>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</si>
  <si>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</si>
  <si>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</si>
  <si>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</si>
  <si>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</si>
  <si>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</si>
  <si>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</si>
  <si>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</si>
  <si>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</si>
  <si>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</si>
  <si>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</si>
  <si>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</si>
  <si>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</si>
  <si>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</si>
  <si>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</si>
  <si>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</si>
  <si>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</si>
  <si>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</si>
  <si>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</si>
  <si>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</si>
  <si>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</si>
  <si>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</si>
  <si>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</si>
  <si>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</si>
  <si>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</si>
  <si>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</si>
  <si>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</si>
  <si>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</si>
  <si>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</si>
  <si>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</si>
  <si>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</si>
  <si>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</si>
  <si>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</si>
  <si>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</si>
  <si>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</si>
  <si>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</si>
  <si>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</si>
  <si>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</si>
  <si>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</si>
  <si>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</si>
  <si>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</si>
  <si>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</si>
  <si>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</si>
  <si>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</si>
  <si>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</si>
  <si>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</si>
  <si>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</si>
  <si>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</si>
  <si>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</si>
  <si>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</si>
  <si>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</si>
  <si>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</si>
  <si>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</si>
  <si>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</si>
  <si>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</si>
  <si>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</si>
  <si>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</si>
  <si>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</si>
  <si>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</si>
  <si>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</si>
  <si>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</si>
  <si>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</si>
  <si>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</si>
  <si>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</si>
  <si>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</si>
  <si>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</si>
  <si>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</si>
  <si>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</si>
  <si>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</si>
  <si>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</si>
  <si>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</si>
  <si>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</si>
  <si>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</si>
  <si>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</si>
  <si>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</si>
  <si>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</si>
  <si>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</si>
  <si>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</si>
  <si>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</si>
  <si>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</si>
  <si>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</si>
  <si>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</si>
  <si>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</si>
  <si>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</si>
  <si>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</si>
  <si>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</si>
  <si>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</si>
  <si>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13</t>
  </si>
  <si>
    <t>Skattesagen</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</si>
  <si>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</si>
  <si>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</si>
  <si>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</si>
  <si>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</si>
  <si>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</si>
  <si>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</si>
  <si>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</si>
  <si>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</si>
  <si>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</si>
  <si>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</si>
  <si>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</si>
  <si>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</si>
  <si>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</si>
  <si>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</si>
  <si>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</si>
  <si>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</si>
  <si>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</si>
  <si>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</si>
  <si>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</si>
  <si>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</si>
  <si>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</si>
  <si>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</si>
  <si>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</si>
  <si>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</si>
  <si>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</si>
  <si>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</si>
  <si>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</si>
  <si>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</si>
  <si>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</si>
  <si>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Korrektion af ØR2021</t>
  </si>
  <si>
    <t>Fane 10</t>
  </si>
  <si>
    <t>Fane 11.1</t>
  </si>
  <si>
    <t>Fane 11.2</t>
  </si>
  <si>
    <t>Fane 14</t>
  </si>
  <si>
    <t>Difference (Korrektion)</t>
  </si>
  <si>
    <t>Tidligere godkendt tillæg indregnet i den økonomiske ramme for 2021</t>
  </si>
  <si>
    <t>Korrektion af supplerende investeringstillæg i de økonomiske rammer for 2021</t>
  </si>
  <si>
    <t xml:space="preserve">kr. </t>
  </si>
  <si>
    <t>Korrektioner af den økonomiske ramme for 2021 i alt</t>
  </si>
  <si>
    <t>Korrektion af den økonomiske ramme for 2021</t>
  </si>
  <si>
    <t>Korrektion af supplerende investeringstillæg</t>
  </si>
  <si>
    <t>Fane 9: Korrektion af den økonomiske ramme for 2021</t>
  </si>
  <si>
    <t>Fane 10: Anlægsprojekter igangsat senest den 1. marts 2016</t>
  </si>
  <si>
    <t>Fane 11.1: Varige tillæg</t>
  </si>
  <si>
    <t>Fane 11.2: Engangstillæg</t>
  </si>
  <si>
    <t>Fane 12: Tilknyttet virksomhed under hovedvirksomheden</t>
  </si>
  <si>
    <t>Fane 13: Bortfald eller nedsættelse af omkostninger til mål, medfinansiering eller udvidelse</t>
  </si>
  <si>
    <t>Fane 14: Nøgletal</t>
  </si>
  <si>
    <t>Faktiske omkostninger i 2021 (inklusiv prisfremskrivning og effektiviseringskrav)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</si>
</sst>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0" fillId="0" borderId="0" xfId="0"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election activeCell="H13" sqref="H13"/>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97" t="s">
        <v>193</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92" t="s">
        <v>160</v>
      </c>
      <c r="E13" s="93"/>
      <c r="F13" s="93"/>
      <c r="G13" s="94"/>
      <c r="H13" s="1"/>
      <c r="I13" s="1"/>
    </row>
    <row r="14" spans="1:9" x14ac:dyDescent="0.25">
      <c r="A14" s="1"/>
      <c r="B14" s="1"/>
      <c r="C14" s="6" t="s">
        <v>14</v>
      </c>
      <c r="D14" s="92" t="s">
        <v>203</v>
      </c>
      <c r="E14" s="93"/>
      <c r="F14" s="93"/>
      <c r="G14" s="94"/>
      <c r="H14" s="1"/>
      <c r="I14" s="1"/>
    </row>
    <row r="15" spans="1:9" x14ac:dyDescent="0.25">
      <c r="A15" s="1"/>
      <c r="B15" s="1"/>
      <c r="C15" s="6" t="s">
        <v>32</v>
      </c>
      <c r="D15" s="92" t="s">
        <v>136</v>
      </c>
      <c r="E15" s="93"/>
      <c r="F15" s="93"/>
      <c r="G15" s="94"/>
      <c r="H15" s="1"/>
      <c r="I15" s="1"/>
    </row>
    <row r="16" spans="1:9" x14ac:dyDescent="0.25">
      <c r="A16" s="1"/>
      <c r="B16" s="1"/>
      <c r="C16" s="6" t="s">
        <v>33</v>
      </c>
      <c r="D16" s="92" t="s">
        <v>161</v>
      </c>
      <c r="E16" s="93"/>
      <c r="F16" s="93"/>
      <c r="G16" s="94"/>
      <c r="H16" s="1"/>
      <c r="I16" s="1"/>
    </row>
    <row r="17" spans="1:9" x14ac:dyDescent="0.25">
      <c r="A17" s="1"/>
      <c r="B17" s="1"/>
      <c r="C17" s="6" t="s">
        <v>109</v>
      </c>
      <c r="D17" s="92" t="s">
        <v>162</v>
      </c>
      <c r="E17" s="93"/>
      <c r="F17" s="93"/>
      <c r="G17" s="94"/>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89" t="s">
        <v>11</v>
      </c>
      <c r="E21" s="90"/>
      <c r="F21" s="90"/>
      <c r="G21" s="91"/>
      <c r="H21" s="1"/>
      <c r="I21" s="1"/>
    </row>
    <row r="22" spans="1:9" x14ac:dyDescent="0.25">
      <c r="A22" s="1"/>
      <c r="B22" s="1"/>
      <c r="C22" s="6" t="s">
        <v>78</v>
      </c>
      <c r="D22" s="83" t="s">
        <v>163</v>
      </c>
      <c r="E22" s="84"/>
      <c r="F22" s="84"/>
      <c r="G22" s="85"/>
      <c r="H22" s="1"/>
      <c r="I22" s="1"/>
    </row>
    <row r="23" spans="1:9" x14ac:dyDescent="0.25">
      <c r="A23" s="1"/>
      <c r="B23" s="1"/>
      <c r="C23" s="6" t="s">
        <v>8</v>
      </c>
      <c r="D23" s="83" t="s">
        <v>216</v>
      </c>
      <c r="E23" s="84"/>
      <c r="F23" s="84"/>
      <c r="G23" s="85"/>
      <c r="H23" s="1"/>
      <c r="I23" s="1"/>
    </row>
    <row r="24" spans="1:9" x14ac:dyDescent="0.25">
      <c r="A24" s="1"/>
      <c r="B24" s="1"/>
      <c r="C24" s="6" t="s">
        <v>214</v>
      </c>
      <c r="D24" s="83" t="s">
        <v>246</v>
      </c>
      <c r="E24" s="84"/>
      <c r="F24" s="84"/>
      <c r="G24" s="85"/>
      <c r="H24" s="1"/>
      <c r="I24" s="1"/>
    </row>
    <row r="25" spans="1:9" x14ac:dyDescent="0.25">
      <c r="A25" s="1"/>
      <c r="B25" s="1"/>
      <c r="C25" s="6" t="s">
        <v>247</v>
      </c>
      <c r="D25" s="83" t="s">
        <v>204</v>
      </c>
      <c r="E25" s="84"/>
      <c r="F25" s="84"/>
      <c r="G25" s="85"/>
      <c r="H25" s="1"/>
      <c r="I25" s="1"/>
    </row>
    <row r="26" spans="1:9" x14ac:dyDescent="0.25">
      <c r="A26" s="1"/>
      <c r="B26" s="1"/>
      <c r="C26" s="6" t="s">
        <v>248</v>
      </c>
      <c r="D26" s="83" t="s">
        <v>79</v>
      </c>
      <c r="E26" s="84"/>
      <c r="F26" s="84"/>
      <c r="G26" s="85"/>
      <c r="H26" s="1"/>
      <c r="I26" s="1"/>
    </row>
    <row r="27" spans="1:9" x14ac:dyDescent="0.25">
      <c r="A27" s="1"/>
      <c r="B27" s="1"/>
      <c r="C27" s="6" t="s">
        <v>249</v>
      </c>
      <c r="D27" s="83" t="s">
        <v>80</v>
      </c>
      <c r="E27" s="84"/>
      <c r="F27" s="84"/>
      <c r="G27" s="85"/>
      <c r="H27" s="1"/>
      <c r="I27" s="1"/>
    </row>
    <row r="28" spans="1:9" x14ac:dyDescent="0.25">
      <c r="A28" s="1"/>
      <c r="B28" s="1"/>
      <c r="C28" s="6" t="s">
        <v>91</v>
      </c>
      <c r="D28" s="83" t="s">
        <v>110</v>
      </c>
      <c r="E28" s="84"/>
      <c r="F28" s="84"/>
      <c r="G28" s="85"/>
      <c r="H28" s="1"/>
      <c r="I28" s="1"/>
    </row>
    <row r="29" spans="1:9" x14ac:dyDescent="0.25">
      <c r="A29" s="1"/>
      <c r="B29" s="1"/>
      <c r="C29" s="6" t="s">
        <v>215</v>
      </c>
      <c r="D29" s="83" t="s">
        <v>34</v>
      </c>
      <c r="E29" s="84"/>
      <c r="F29" s="84"/>
      <c r="G29" s="85"/>
      <c r="H29" s="1"/>
      <c r="I29" s="1"/>
    </row>
    <row r="30" spans="1:9" x14ac:dyDescent="0.25">
      <c r="A30" s="1"/>
      <c r="B30" s="1"/>
      <c r="C30" s="6" t="s">
        <v>250</v>
      </c>
      <c r="D30" s="86" t="s">
        <v>92</v>
      </c>
      <c r="E30" s="87"/>
      <c r="F30" s="87"/>
      <c r="G30" s="88"/>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drWC7nUp7sYRgTj3/sWIpkkzLtNZq394nV49lx/lXz8JnGH4qXUjrPDx5VgpZsL9UtFTBTPlQ9N4kIYJLZNRg==" saltValue="HrWGb1yQ6F2SWWYHgOCTlA==" spinCount="100000" sheet="1" objects="1" scenarios="1"/>
  <mergeCells count="21">
    <mergeCell ref="D14:G14"/>
    <mergeCell ref="D6:G7"/>
    <mergeCell ref="D22:G22"/>
    <mergeCell ref="D11:G11"/>
    <mergeCell ref="D8:G8"/>
    <mergeCell ref="D15:G15"/>
    <mergeCell ref="D16:G16"/>
    <mergeCell ref="D13:G13"/>
    <mergeCell ref="D17:G17"/>
    <mergeCell ref="D18:G18"/>
    <mergeCell ref="D19:G19"/>
    <mergeCell ref="D20:G20"/>
    <mergeCell ref="D29:G29"/>
    <mergeCell ref="D30:G30"/>
    <mergeCell ref="D21:G21"/>
    <mergeCell ref="D25:G25"/>
    <mergeCell ref="D26:G26"/>
    <mergeCell ref="D28:G28"/>
    <mergeCell ref="D27:G27"/>
    <mergeCell ref="D23:G23"/>
    <mergeCell ref="D24:G24"/>
  </mergeCells>
  <hyperlinks>
    <hyperlink ref="D14:G14" location="'Fane 2.2. Økonomisk ramme 2024'!A1" display="Vejledende økonomisk ramme for 2024" xr:uid="{00000000-0004-0000-0000-000000000000}"/>
    <hyperlink ref="D26:G26" location="'Fane 10.1. Varige tillæg'!A1" display="Varige tillæg" xr:uid="{00000000-0004-0000-0000-000001000000}"/>
    <hyperlink ref="D28:G28" location="'Fane 11. Tilknyttet virksomhed'!A1" display="Tilknyttet virksomhed" xr:uid="{00000000-0004-0000-0000-000002000000}"/>
    <hyperlink ref="D29:G29"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5:G25" location="'Fane 9. Anlægsprojekter (§ 19) '!A1" display="Anlægsprojekter (§ 19) " xr:uid="{00000000-0004-0000-0000-000009000000}"/>
    <hyperlink ref="D30:G30" location="'Fane 13. Nøgletal'!A1" display="Nøgletal" xr:uid="{00000000-0004-0000-0000-00000A000000}"/>
    <hyperlink ref="D17:G17" location="'Fane 3. Omkostninger i ØR2022'!A1" display="Omkostninger i ØR2022" xr:uid="{00000000-0004-0000-0000-00000B000000}"/>
    <hyperlink ref="D27:G27"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 ref="D24:G24" location="'Fane 9. Korrektion af ØR2021'!A1" display="Korrektion af ØR2021" xr:uid="{00000000-0004-0000-0000-000011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99</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180</v>
      </c>
      <c r="C8" s="125"/>
      <c r="D8" s="126"/>
      <c r="E8" s="1"/>
      <c r="F8" s="1"/>
    </row>
    <row r="9" spans="1:6" ht="15" customHeight="1" x14ac:dyDescent="0.25">
      <c r="A9" s="1"/>
      <c r="B9" s="33" t="s">
        <v>30</v>
      </c>
      <c r="C9" s="11" t="s">
        <v>211</v>
      </c>
      <c r="D9" s="11"/>
      <c r="E9" s="1"/>
      <c r="F9" s="1"/>
    </row>
    <row r="10" spans="1:6" x14ac:dyDescent="0.25">
      <c r="A10" s="1"/>
      <c r="B10" s="77" t="s">
        <v>222</v>
      </c>
      <c r="C10" s="9">
        <v>9674173</v>
      </c>
      <c r="D10" s="14" t="s">
        <v>3</v>
      </c>
      <c r="E10" s="1"/>
      <c r="F10" s="1"/>
    </row>
    <row r="11" spans="1:6" x14ac:dyDescent="0.25">
      <c r="A11" s="1"/>
      <c r="B11" s="77" t="s">
        <v>223</v>
      </c>
      <c r="C11" s="9">
        <v>92994</v>
      </c>
      <c r="D11" s="14" t="s">
        <v>3</v>
      </c>
      <c r="E11" s="1"/>
      <c r="F11" s="1"/>
    </row>
    <row r="12" spans="1:6" x14ac:dyDescent="0.25">
      <c r="A12" s="1"/>
      <c r="B12" s="77" t="s">
        <v>224</v>
      </c>
      <c r="C12" s="9">
        <v>5699919</v>
      </c>
      <c r="D12" s="14" t="s">
        <v>3</v>
      </c>
      <c r="E12" s="1"/>
      <c r="F12" s="1"/>
    </row>
    <row r="13" spans="1:6" x14ac:dyDescent="0.25">
      <c r="A13" s="1"/>
      <c r="B13" s="77" t="s">
        <v>225</v>
      </c>
      <c r="C13" s="9">
        <v>33043</v>
      </c>
      <c r="D13" s="14" t="s">
        <v>3</v>
      </c>
      <c r="E13" s="1"/>
      <c r="F13" s="1"/>
    </row>
    <row r="14" spans="1:6" x14ac:dyDescent="0.25">
      <c r="A14" s="1"/>
      <c r="B14" s="77" t="s">
        <v>226</v>
      </c>
      <c r="C14" s="9">
        <v>331867</v>
      </c>
      <c r="D14" s="14" t="s">
        <v>3</v>
      </c>
      <c r="E14" s="1"/>
      <c r="F14" s="1"/>
    </row>
    <row r="15" spans="1:6" x14ac:dyDescent="0.25">
      <c r="A15" s="1"/>
      <c r="B15" s="65" t="s">
        <v>181</v>
      </c>
      <c r="C15" s="12">
        <f>SUM(C10:C14)</f>
        <v>15831996</v>
      </c>
      <c r="D15" s="13" t="s">
        <v>3</v>
      </c>
      <c r="E15" s="1"/>
      <c r="F15" s="1"/>
    </row>
    <row r="16" spans="1:6" x14ac:dyDescent="0.25">
      <c r="A16" s="1"/>
      <c r="B16" s="65" t="s">
        <v>182</v>
      </c>
      <c r="C16" s="12">
        <f>C15*(1+'Fane 14. Nøgletal'!C15)^2</f>
        <v>16979298.95365056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cnSzdkBB14I1bXK07b/qfwzMOax3PAeFSTYvTKkmqUhxKeq5ElABRAYOzlNq61apebpXt74R4q/TKSBhOr4rSw==" saltValue="qBGHiByJiHsK+zz/Q1682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topLeftCell="A7" zoomScaleNormal="100" workbookViewId="0">
      <selection activeCell="B13" sqref="B13:F13"/>
    </sheetView>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9" t="s">
        <v>183</v>
      </c>
      <c r="C3" s="109"/>
      <c r="D3" s="109"/>
      <c r="E3" s="109"/>
      <c r="F3" s="109"/>
      <c r="G3" s="1"/>
    </row>
    <row r="4" spans="1:7" ht="15" customHeight="1" x14ac:dyDescent="0.25">
      <c r="A4" s="1"/>
      <c r="B4" s="109"/>
      <c r="C4" s="109"/>
      <c r="D4" s="109"/>
      <c r="E4" s="109"/>
      <c r="F4" s="109"/>
      <c r="G4" s="1"/>
    </row>
    <row r="5" spans="1:7" ht="15" customHeight="1" x14ac:dyDescent="0.25">
      <c r="A5" s="1"/>
      <c r="B5" s="72"/>
      <c r="C5" s="72"/>
      <c r="D5" s="72"/>
      <c r="E5" s="72"/>
      <c r="F5" s="72"/>
      <c r="G5" s="1"/>
    </row>
    <row r="6" spans="1:7" ht="15" customHeight="1" x14ac:dyDescent="0.25">
      <c r="A6" s="1"/>
      <c r="B6" s="72"/>
      <c r="C6" s="72"/>
      <c r="D6" s="72"/>
      <c r="E6" s="72"/>
      <c r="F6" s="72"/>
      <c r="G6" s="1"/>
    </row>
    <row r="7" spans="1:7" x14ac:dyDescent="0.25">
      <c r="A7" s="1"/>
      <c r="B7" s="1"/>
      <c r="C7" s="1"/>
      <c r="D7" s="1"/>
      <c r="E7" s="1"/>
      <c r="F7" s="1"/>
      <c r="G7" s="1"/>
    </row>
    <row r="8" spans="1:7" x14ac:dyDescent="0.25">
      <c r="A8" s="1"/>
      <c r="B8" s="124" t="s">
        <v>154</v>
      </c>
      <c r="C8" s="125"/>
      <c r="D8" s="125"/>
      <c r="E8" s="125"/>
      <c r="F8" s="126"/>
      <c r="G8" s="1"/>
    </row>
    <row r="9" spans="1:7" x14ac:dyDescent="0.25">
      <c r="A9" s="1"/>
      <c r="B9" s="127" t="s">
        <v>155</v>
      </c>
      <c r="C9" s="128"/>
      <c r="D9" s="129"/>
      <c r="E9" s="9">
        <v>2315034</v>
      </c>
      <c r="F9" s="14" t="s">
        <v>3</v>
      </c>
      <c r="G9" s="1"/>
    </row>
    <row r="10" spans="1:7" x14ac:dyDescent="0.25">
      <c r="A10" s="1"/>
      <c r="B10" s="142" t="s">
        <v>227</v>
      </c>
      <c r="C10" s="143"/>
      <c r="D10" s="144"/>
      <c r="E10" s="9">
        <v>2315034</v>
      </c>
      <c r="F10" s="51" t="s">
        <v>3</v>
      </c>
      <c r="G10" s="1"/>
    </row>
    <row r="11" spans="1:7" x14ac:dyDescent="0.25">
      <c r="A11" s="1"/>
      <c r="B11" s="127" t="s">
        <v>184</v>
      </c>
      <c r="C11" s="128"/>
      <c r="D11" s="129"/>
      <c r="E11" s="9">
        <v>-3969645.3813246638</v>
      </c>
      <c r="F11" s="14" t="s">
        <v>3</v>
      </c>
      <c r="G11" s="1"/>
    </row>
    <row r="12" spans="1:7" x14ac:dyDescent="0.25">
      <c r="A12" s="1"/>
      <c r="B12" s="65"/>
      <c r="C12" s="66"/>
      <c r="D12" s="66"/>
      <c r="E12" s="66"/>
      <c r="F12" s="19"/>
      <c r="G12" s="1"/>
    </row>
    <row r="13" spans="1:7" ht="64.900000000000006" customHeight="1" x14ac:dyDescent="0.25">
      <c r="A13" s="1"/>
      <c r="B13" s="113" t="s">
        <v>244</v>
      </c>
      <c r="C13" s="114"/>
      <c r="D13" s="114"/>
      <c r="E13" s="114"/>
      <c r="F13" s="115"/>
      <c r="G13" s="1"/>
    </row>
    <row r="14" spans="1:7" ht="27" customHeight="1" x14ac:dyDescent="0.25">
      <c r="A14" s="1"/>
      <c r="B14" s="1"/>
      <c r="C14" s="1"/>
      <c r="D14" s="1"/>
      <c r="E14" s="1"/>
      <c r="F14" s="1"/>
      <c r="G14" s="1"/>
    </row>
    <row r="15" spans="1:7" ht="28.5" customHeight="1" x14ac:dyDescent="0.25">
      <c r="A15" s="1"/>
      <c r="B15" s="124" t="s">
        <v>156</v>
      </c>
      <c r="C15" s="125"/>
      <c r="D15" s="125"/>
      <c r="E15" s="125"/>
      <c r="F15" s="126"/>
      <c r="G15" s="1"/>
    </row>
    <row r="16" spans="1:7" x14ac:dyDescent="0.25">
      <c r="A16" s="1"/>
      <c r="B16" s="127" t="s">
        <v>228</v>
      </c>
      <c r="C16" s="128"/>
      <c r="D16" s="129"/>
      <c r="E16" s="9">
        <v>0</v>
      </c>
      <c r="F16" s="14" t="s">
        <v>3</v>
      </c>
      <c r="G16" s="1"/>
    </row>
    <row r="17" spans="1:7" x14ac:dyDescent="0.25">
      <c r="A17" s="1"/>
      <c r="B17" s="127" t="s">
        <v>229</v>
      </c>
      <c r="C17" s="128"/>
      <c r="D17" s="129"/>
      <c r="E17" s="9">
        <v>0</v>
      </c>
      <c r="F17" s="14" t="s">
        <v>3</v>
      </c>
      <c r="G17" s="1"/>
    </row>
    <row r="18" spans="1:7" x14ac:dyDescent="0.25">
      <c r="A18" s="1"/>
      <c r="B18" s="65"/>
      <c r="C18" s="66"/>
      <c r="D18" s="66"/>
      <c r="E18" s="66"/>
      <c r="F18" s="19"/>
      <c r="G18" s="1"/>
    </row>
    <row r="19" spans="1:7" ht="31.5" customHeight="1" x14ac:dyDescent="0.25">
      <c r="A19" s="1"/>
      <c r="B19" s="113" t="s">
        <v>157</v>
      </c>
      <c r="C19" s="114"/>
      <c r="D19" s="114"/>
      <c r="E19" s="114"/>
      <c r="F19" s="115"/>
      <c r="G19" s="1"/>
    </row>
    <row r="20" spans="1:7" ht="28.5" customHeight="1" x14ac:dyDescent="0.25">
      <c r="A20" s="1"/>
      <c r="B20" s="1"/>
      <c r="C20" s="1"/>
      <c r="D20" s="1"/>
      <c r="E20" s="1"/>
      <c r="F20" s="1"/>
      <c r="G20" s="1"/>
    </row>
    <row r="21" spans="1:7" ht="28.5" customHeight="1" x14ac:dyDescent="0.25">
      <c r="A21" s="1"/>
      <c r="B21" s="69" t="s">
        <v>185</v>
      </c>
      <c r="C21" s="70"/>
      <c r="D21" s="70"/>
      <c r="E21" s="70"/>
      <c r="F21" s="71"/>
      <c r="G21" s="1"/>
    </row>
    <row r="22" spans="1:7" x14ac:dyDescent="0.25">
      <c r="A22" s="1"/>
      <c r="B22" s="74" t="s">
        <v>230</v>
      </c>
      <c r="C22" s="75"/>
      <c r="D22" s="76"/>
      <c r="E22" s="9">
        <v>27354029.118042968</v>
      </c>
      <c r="F22" s="14" t="s">
        <v>3</v>
      </c>
      <c r="G22" s="1"/>
    </row>
    <row r="23" spans="1:7" x14ac:dyDescent="0.25">
      <c r="A23" s="1"/>
      <c r="B23" s="74" t="s">
        <v>186</v>
      </c>
      <c r="C23" s="75"/>
      <c r="D23" s="76"/>
      <c r="E23" s="9">
        <v>30096684</v>
      </c>
      <c r="F23" s="14" t="s">
        <v>3</v>
      </c>
      <c r="G23" s="1"/>
    </row>
    <row r="24" spans="1:7" x14ac:dyDescent="0.25">
      <c r="A24" s="1"/>
      <c r="B24" s="74" t="s">
        <v>31</v>
      </c>
      <c r="C24" s="75"/>
      <c r="D24" s="76"/>
      <c r="E24" s="9">
        <v>0</v>
      </c>
      <c r="F24" s="14" t="s">
        <v>3</v>
      </c>
      <c r="G24" s="1"/>
    </row>
    <row r="25" spans="1:7" x14ac:dyDescent="0.25">
      <c r="A25" s="1"/>
      <c r="B25" s="80" t="s">
        <v>245</v>
      </c>
      <c r="C25" s="81"/>
      <c r="D25" s="82"/>
      <c r="E25" s="54">
        <f>E22-(E23-E24)</f>
        <v>-2742654.8819570318</v>
      </c>
      <c r="F25" s="17" t="s">
        <v>3</v>
      </c>
      <c r="G25" s="1"/>
    </row>
    <row r="26" spans="1:7" x14ac:dyDescent="0.25">
      <c r="A26" s="1"/>
      <c r="B26" s="65"/>
      <c r="C26" s="66"/>
      <c r="D26" s="66"/>
      <c r="E26" s="66"/>
      <c r="F26" s="19"/>
      <c r="G26" s="1"/>
    </row>
    <row r="27" spans="1:7" x14ac:dyDescent="0.25">
      <c r="A27" s="1"/>
      <c r="B27" s="1"/>
      <c r="C27" s="1"/>
      <c r="D27" s="1"/>
      <c r="E27" s="1"/>
      <c r="F27" s="1"/>
      <c r="G27" s="1"/>
    </row>
    <row r="28" spans="1:7" ht="28.5" customHeight="1" x14ac:dyDescent="0.25">
      <c r="A28" s="1"/>
      <c r="B28" s="124" t="s">
        <v>231</v>
      </c>
      <c r="C28" s="125"/>
      <c r="D28" s="125"/>
      <c r="E28" s="125"/>
      <c r="F28" s="126"/>
      <c r="G28" s="1"/>
    </row>
    <row r="29" spans="1:7" x14ac:dyDescent="0.25">
      <c r="A29" s="1"/>
      <c r="B29" s="145" t="s">
        <v>127</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-2742654.8819570318</v>
      </c>
      <c r="F29" s="14" t="s">
        <v>3</v>
      </c>
      <c r="G29" s="1"/>
    </row>
    <row r="30" spans="1:7" x14ac:dyDescent="0.25">
      <c r="A30" s="1"/>
      <c r="B30" s="145" t="s">
        <v>93</v>
      </c>
      <c r="C30" s="146"/>
      <c r="D30" s="147"/>
      <c r="E30" s="9">
        <v>2</v>
      </c>
      <c r="F30" s="14" t="s">
        <v>18</v>
      </c>
      <c r="G30" s="1"/>
    </row>
    <row r="31" spans="1:7" x14ac:dyDescent="0.25">
      <c r="A31" s="1"/>
      <c r="B31" s="138" t="s">
        <v>126</v>
      </c>
      <c r="C31" s="138"/>
      <c r="D31" s="138"/>
      <c r="E31" s="10">
        <f>E29/E30</f>
        <v>-1371327.4409785159</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2"/>
      <c r="C38" s="52"/>
      <c r="D38" s="52"/>
      <c r="E38" s="52"/>
      <c r="F38" s="52"/>
    </row>
    <row r="39" spans="1:7" x14ac:dyDescent="0.25">
      <c r="A39" s="52"/>
      <c r="B39" s="52"/>
      <c r="C39" s="52"/>
      <c r="D39" s="52"/>
      <c r="E39" s="52"/>
      <c r="F39" s="52"/>
      <c r="G39" s="52"/>
    </row>
    <row r="40" spans="1:7" x14ac:dyDescent="0.25">
      <c r="A40" s="52"/>
      <c r="B40" s="52"/>
      <c r="C40" s="52"/>
      <c r="D40" s="52"/>
      <c r="E40" s="52"/>
      <c r="F40" s="52"/>
      <c r="G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VFZjKdVnd/m3yENNpSW5YNtRi51ZQoL2NCS/DApm5Bij5bfXjvA9lYgwsHLJwOX7TrvvvDTnlBZ4F9L66RNqCg==" saltValue="g5r5hre0AQguosFxk9wSw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217</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218</v>
      </c>
      <c r="C8" s="125"/>
      <c r="D8" s="125"/>
      <c r="E8" s="125"/>
      <c r="F8" s="125"/>
      <c r="G8" s="125"/>
      <c r="H8" s="126"/>
      <c r="I8" s="1"/>
    </row>
    <row r="9" spans="1:9" ht="15" customHeight="1" x14ac:dyDescent="0.25">
      <c r="A9" s="1"/>
      <c r="B9" s="119" t="s">
        <v>219</v>
      </c>
      <c r="C9" s="120"/>
      <c r="D9" s="120"/>
      <c r="E9" s="120"/>
      <c r="F9" s="120"/>
      <c r="G9" s="120"/>
      <c r="H9" s="121"/>
      <c r="I9" s="1"/>
    </row>
    <row r="10" spans="1:9" x14ac:dyDescent="0.25">
      <c r="A10" s="1"/>
      <c r="B10" s="148" t="s">
        <v>236</v>
      </c>
      <c r="C10" s="149"/>
      <c r="D10" s="149"/>
      <c r="E10" s="149"/>
      <c r="F10" s="150"/>
      <c r="G10" s="53">
        <v>0</v>
      </c>
      <c r="H10" s="9" t="s">
        <v>3</v>
      </c>
      <c r="I10" s="1"/>
    </row>
    <row r="11" spans="1:9" x14ac:dyDescent="0.25">
      <c r="A11" s="1"/>
      <c r="B11" s="148" t="s">
        <v>237</v>
      </c>
      <c r="C11" s="149"/>
      <c r="D11" s="149"/>
      <c r="E11" s="149"/>
      <c r="F11" s="150"/>
      <c r="G11" s="53">
        <v>0</v>
      </c>
      <c r="H11" s="9" t="s">
        <v>3</v>
      </c>
      <c r="I11" s="1"/>
    </row>
    <row r="12" spans="1:9" x14ac:dyDescent="0.25">
      <c r="A12" s="1"/>
      <c r="B12" s="148" t="s">
        <v>238</v>
      </c>
      <c r="C12" s="149"/>
      <c r="D12" s="149"/>
      <c r="E12" s="149"/>
      <c r="F12" s="150"/>
      <c r="G12" s="9">
        <v>0</v>
      </c>
      <c r="H12" s="9" t="s">
        <v>3</v>
      </c>
      <c r="I12" s="1"/>
    </row>
    <row r="13" spans="1:9" x14ac:dyDescent="0.25">
      <c r="A13" s="1"/>
      <c r="B13" s="148" t="s">
        <v>239</v>
      </c>
      <c r="C13" s="149"/>
      <c r="D13" s="149"/>
      <c r="E13" s="149"/>
      <c r="F13" s="150"/>
      <c r="G13" s="9">
        <v>0</v>
      </c>
      <c r="H13" s="9" t="s">
        <v>3</v>
      </c>
      <c r="I13" s="1"/>
    </row>
    <row r="14" spans="1:9" x14ac:dyDescent="0.25">
      <c r="A14" s="1"/>
      <c r="B14" s="148" t="s">
        <v>240</v>
      </c>
      <c r="C14" s="149"/>
      <c r="D14" s="149"/>
      <c r="E14" s="149"/>
      <c r="F14" s="150"/>
      <c r="G14" s="9">
        <v>0</v>
      </c>
      <c r="H14" s="9" t="s">
        <v>3</v>
      </c>
      <c r="I14" s="1"/>
    </row>
    <row r="15" spans="1:9" x14ac:dyDescent="0.25">
      <c r="A15" s="1"/>
      <c r="B15" s="148" t="s">
        <v>241</v>
      </c>
      <c r="C15" s="149"/>
      <c r="D15" s="149"/>
      <c r="E15" s="149"/>
      <c r="F15" s="150"/>
      <c r="G15" s="9">
        <v>0</v>
      </c>
      <c r="H15" s="9" t="s">
        <v>3</v>
      </c>
      <c r="I15" s="1"/>
    </row>
    <row r="16" spans="1:9" x14ac:dyDescent="0.25">
      <c r="A16" s="1"/>
      <c r="B16" s="148" t="s">
        <v>242</v>
      </c>
      <c r="C16" s="149"/>
      <c r="D16" s="149"/>
      <c r="E16" s="149"/>
      <c r="F16" s="150"/>
      <c r="G16" s="9">
        <v>0</v>
      </c>
      <c r="H16" s="9" t="s">
        <v>3</v>
      </c>
      <c r="I16" s="1"/>
    </row>
    <row r="17" spans="1:9" x14ac:dyDescent="0.25">
      <c r="A17" s="1"/>
      <c r="B17" s="148" t="s">
        <v>243</v>
      </c>
      <c r="C17" s="149"/>
      <c r="D17" s="149"/>
      <c r="E17" s="149"/>
      <c r="F17" s="150"/>
      <c r="G17" s="9">
        <v>0</v>
      </c>
      <c r="H17" s="9" t="s">
        <v>3</v>
      </c>
      <c r="I17" s="1"/>
    </row>
    <row r="18" spans="1:9" x14ac:dyDescent="0.25">
      <c r="A18" s="1"/>
      <c r="B18" s="124" t="s">
        <v>220</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jxyaAOSGdpxFagVmYzIMnyM8gqY36rhSRMsLnWCjcdq1VgC9foFwW5ALKkJBUiAJd0iVFCi9dDIBxn+nA77c1g==" saltValue="vFXax/HoYxi8vgTe5vQZz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H49"/>
  <sheetViews>
    <sheetView view="pageLayout" zoomScaleNormal="100" workbookViewId="0">
      <selection activeCell="F13" sqref="F13"/>
    </sheetView>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8" width="9" style="61"/>
    <col min="9"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9" t="s">
        <v>258</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54" t="s">
        <v>253</v>
      </c>
      <c r="C9" s="154"/>
      <c r="D9" s="154"/>
      <c r="E9" s="154"/>
      <c r="F9" s="154"/>
      <c r="G9" s="1"/>
    </row>
    <row r="10" spans="1:7" x14ac:dyDescent="0.25">
      <c r="A10" s="1"/>
      <c r="B10" s="127" t="s">
        <v>252</v>
      </c>
      <c r="C10" s="128"/>
      <c r="D10" s="129"/>
      <c r="E10" s="9">
        <v>700000</v>
      </c>
      <c r="F10" s="8" t="s">
        <v>3</v>
      </c>
      <c r="G10" s="1"/>
    </row>
    <row r="11" spans="1:7" x14ac:dyDescent="0.25">
      <c r="A11" s="1"/>
      <c r="B11" s="113" t="s">
        <v>265</v>
      </c>
      <c r="C11" s="114"/>
      <c r="D11" s="115"/>
      <c r="E11" s="9">
        <f>700000*(1+'Fane 14. Nøgletal'!C15)^2*(1-'Fane 14. Nøgletal'!C26-'Fane 5. Individuelt eff. krav'!G9)</f>
        <v>736622.03252093401</v>
      </c>
      <c r="F11" s="8" t="s">
        <v>254</v>
      </c>
      <c r="G11" s="1"/>
    </row>
    <row r="12" spans="1:7" x14ac:dyDescent="0.25">
      <c r="A12" s="1"/>
      <c r="B12" s="151" t="s">
        <v>251</v>
      </c>
      <c r="C12" s="152"/>
      <c r="D12" s="153"/>
      <c r="E12" s="10">
        <f>E11-E10</f>
        <v>36622.032520934008</v>
      </c>
      <c r="F12" s="11" t="s">
        <v>254</v>
      </c>
      <c r="G12" s="1"/>
    </row>
    <row r="13" spans="1:7" ht="15" customHeight="1" x14ac:dyDescent="0.25">
      <c r="A13" s="1"/>
      <c r="B13" s="65" t="s">
        <v>255</v>
      </c>
      <c r="C13" s="66"/>
      <c r="D13" s="66"/>
      <c r="E13" s="12">
        <f>E12</f>
        <v>36622.032520934008</v>
      </c>
      <c r="F13" s="13" t="s">
        <v>3</v>
      </c>
      <c r="G13" s="1"/>
    </row>
    <row r="14" spans="1:7" ht="15" customHeight="1"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6c57OQMleYlcI6zxzo8T6NfdwZBqIqMdtRBXB+kJDjupwXEDWvT+aQ6tnA/ufpRR5VhEx2slk+q26uTWxukMA==" saltValue="/NIxn3nIgSHAv9bPcpU/cg==" spinCount="100000" sheet="1" objects="1" scenarios="1"/>
  <mergeCells count="5">
    <mergeCell ref="B12:D12"/>
    <mergeCell ref="B9:F9"/>
    <mergeCell ref="B10:D10"/>
    <mergeCell ref="B11:D11"/>
    <mergeCell ref="B3:F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259</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191</v>
      </c>
      <c r="C8" s="125"/>
      <c r="D8" s="125"/>
      <c r="E8" s="125"/>
      <c r="F8" s="125"/>
      <c r="G8" s="125"/>
      <c r="H8" s="125"/>
      <c r="I8" s="125"/>
      <c r="J8" s="125"/>
      <c r="K8" s="126"/>
      <c r="L8" s="1"/>
    </row>
    <row r="9" spans="1:12" ht="39.75" customHeight="1" x14ac:dyDescent="0.25">
      <c r="A9" s="1"/>
      <c r="B9" s="18" t="s">
        <v>0</v>
      </c>
      <c r="C9" s="18" t="s">
        <v>1</v>
      </c>
      <c r="D9" s="155" t="s">
        <v>212</v>
      </c>
      <c r="E9" s="156"/>
      <c r="F9" s="155" t="s">
        <v>2</v>
      </c>
      <c r="G9" s="156"/>
      <c r="H9" s="155" t="s">
        <v>213</v>
      </c>
      <c r="I9" s="156"/>
      <c r="J9" s="155" t="s">
        <v>28</v>
      </c>
      <c r="K9" s="156"/>
      <c r="L9" s="1"/>
    </row>
    <row r="10" spans="1:12" x14ac:dyDescent="0.25">
      <c r="A10" s="1"/>
      <c r="B10" s="79" t="s">
        <v>221</v>
      </c>
      <c r="C10" s="29">
        <v>0</v>
      </c>
      <c r="D10" s="9">
        <v>0</v>
      </c>
      <c r="E10" s="14" t="s">
        <v>3</v>
      </c>
      <c r="F10" s="39">
        <f>IFERROR(D10/C10,0)</f>
        <v>0</v>
      </c>
      <c r="G10" s="14" t="s">
        <v>3</v>
      </c>
      <c r="H10" s="9">
        <v>0</v>
      </c>
      <c r="I10" s="14" t="s">
        <v>3</v>
      </c>
      <c r="J10" s="9">
        <v>0</v>
      </c>
      <c r="K10" s="14" t="s">
        <v>3</v>
      </c>
      <c r="L10" s="1"/>
    </row>
    <row r="11" spans="1:12" x14ac:dyDescent="0.25">
      <c r="A11" s="1"/>
      <c r="B11" s="65" t="s">
        <v>192</v>
      </c>
      <c r="C11" s="66"/>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1"/>
      <c r="L49" s="1"/>
    </row>
    <row r="50" spans="1:12" x14ac:dyDescent="0.25">
      <c r="A50" s="1"/>
      <c r="L50" s="1"/>
    </row>
    <row r="51" spans="1:12" x14ac:dyDescent="0.25">
      <c r="A51" s="1"/>
      <c r="L51" s="1"/>
    </row>
    <row r="52" spans="1:12" x14ac:dyDescent="0.25">
      <c r="A52" s="1"/>
      <c r="L52" s="1"/>
    </row>
  </sheetData>
  <sheetProtection algorithmName="SHA-512" hashValue="Iwo3Dg/3n0TYED8WhtSkLwNvDEmPk7EN3AF2nxP9yBAdMhn2tkXZ6H8conyIpUtkdkd5jpNK9SHKphDZql8lSg==" saltValue="tHdj7NBT283Rz6gsA5voI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260</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75</v>
      </c>
      <c r="C8" s="66"/>
      <c r="D8" s="66"/>
      <c r="E8" s="66"/>
      <c r="F8" s="19"/>
      <c r="G8" s="1"/>
    </row>
    <row r="9" spans="1:7" ht="17.25" customHeight="1" x14ac:dyDescent="0.25">
      <c r="A9" s="1"/>
      <c r="B9" s="63" t="s">
        <v>15</v>
      </c>
      <c r="C9" s="63" t="s">
        <v>10</v>
      </c>
      <c r="D9" s="64"/>
      <c r="E9" s="63" t="s">
        <v>29</v>
      </c>
      <c r="F9" s="68"/>
      <c r="G9" s="1"/>
    </row>
    <row r="10" spans="1:7" x14ac:dyDescent="0.25">
      <c r="A10" s="1"/>
      <c r="B10" s="22" t="s">
        <v>202</v>
      </c>
      <c r="C10" s="21">
        <f>'Fane 10. Anlægsprojekter (§19) '!H11</f>
        <v>0</v>
      </c>
      <c r="D10" s="14" t="s">
        <v>3</v>
      </c>
      <c r="E10" s="9">
        <f>'Fane 10. Anlægsprojekter (§19) '!F11+'Fane 10. Anlægsprojekter (§19) '!J11</f>
        <v>0</v>
      </c>
      <c r="F10" s="14" t="s">
        <v>3</v>
      </c>
      <c r="G10" s="1"/>
    </row>
    <row r="11" spans="1:7" x14ac:dyDescent="0.25">
      <c r="A11" s="1"/>
      <c r="B11" s="26" t="s">
        <v>232</v>
      </c>
      <c r="C11" s="21">
        <v>0</v>
      </c>
      <c r="D11" s="14" t="s">
        <v>3</v>
      </c>
      <c r="E11" s="9">
        <v>0</v>
      </c>
      <c r="F11" s="14" t="s">
        <v>3</v>
      </c>
      <c r="G11" s="1"/>
    </row>
    <row r="12" spans="1:7" x14ac:dyDescent="0.25">
      <c r="A12" s="1"/>
      <c r="B12" s="65" t="s">
        <v>147</v>
      </c>
      <c r="C12" s="12">
        <f>SUM(C10:C11)</f>
        <v>0</v>
      </c>
      <c r="D12" s="13" t="s">
        <v>3</v>
      </c>
      <c r="E12" s="12">
        <f>SUM(E10:E11)</f>
        <v>0</v>
      </c>
      <c r="F12" s="13" t="s">
        <v>3</v>
      </c>
      <c r="G12" s="1"/>
    </row>
    <row r="13" spans="1:7" x14ac:dyDescent="0.25">
      <c r="A13" s="1"/>
      <c r="B13" s="65" t="s">
        <v>187</v>
      </c>
      <c r="C13" s="12">
        <f>C12*(1+'Fane 14. Nøgletal'!C15)</f>
        <v>0</v>
      </c>
      <c r="D13" s="13" t="s">
        <v>3</v>
      </c>
      <c r="E13" s="12">
        <f>E12*(1+'Fane 14. Nøgletal'!C15)</f>
        <v>0</v>
      </c>
      <c r="F13" s="13" t="s">
        <v>3</v>
      </c>
      <c r="G13" s="1"/>
    </row>
    <row r="14" spans="1:7" x14ac:dyDescent="0.25">
      <c r="A14" s="1"/>
      <c r="B14" s="1"/>
      <c r="C14" s="1" t="s">
        <v>209</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tsnIeuNkgIZsnbYRyZWUm09yxfU+I0tlQnyqE8sleMGmQzH101ldB+0kce3g0LhCMh/sMmRdVJQJ8rVAxTTPg==" saltValue="n5eNPOs+W2fTA8vmZ3afK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261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4" t="s">
        <v>88</v>
      </c>
      <c r="C9" s="125"/>
      <c r="D9" s="125"/>
      <c r="E9" s="125"/>
      <c r="F9" s="126"/>
      <c r="G9" s="1"/>
    </row>
    <row r="10" spans="1:7" ht="26.25" x14ac:dyDescent="0.25">
      <c r="A10" s="1"/>
      <c r="B10" s="63" t="s">
        <v>15</v>
      </c>
      <c r="C10" s="63" t="s">
        <v>10</v>
      </c>
      <c r="D10" s="64"/>
      <c r="E10" s="63" t="s">
        <v>29</v>
      </c>
      <c r="F10" s="68"/>
      <c r="G10" s="1"/>
    </row>
    <row r="11" spans="1:7" x14ac:dyDescent="0.25">
      <c r="A11" s="1"/>
      <c r="B11" s="22" t="s">
        <v>233</v>
      </c>
      <c r="C11" s="21">
        <v>0</v>
      </c>
      <c r="D11" s="14" t="s">
        <v>3</v>
      </c>
      <c r="E11" s="9">
        <v>0</v>
      </c>
      <c r="F11" s="14" t="s">
        <v>3</v>
      </c>
      <c r="G11" s="1"/>
    </row>
    <row r="12" spans="1:7" x14ac:dyDescent="0.25">
      <c r="A12" s="1"/>
      <c r="B12" s="65" t="s">
        <v>194</v>
      </c>
      <c r="C12" s="12">
        <f>SUM(C11:C11)</f>
        <v>0</v>
      </c>
      <c r="D12" s="13" t="s">
        <v>3</v>
      </c>
      <c r="E12" s="12">
        <f>SUM(E11:E11)</f>
        <v>0</v>
      </c>
      <c r="F12" s="13" t="s">
        <v>3</v>
      </c>
      <c r="G12" s="1"/>
    </row>
    <row r="13" spans="1:7" x14ac:dyDescent="0.25">
      <c r="A13" s="1"/>
      <c r="B13" s="65" t="s">
        <v>118</v>
      </c>
      <c r="C13" s="12">
        <f>C12*(1+'Fane 14. Nøgletal'!$C$15)^2</f>
        <v>0</v>
      </c>
      <c r="D13" s="13" t="s">
        <v>3</v>
      </c>
      <c r="E13" s="12">
        <f>E12*(1+'Fane 14.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jRi7g/m4uLxh25JER5/TivFwfZSPuFqgU+DYHDPyLSisHM9M2zd53NRnzPlqjBteqGGXYwIthC+WdT+x1ld6jA==" saltValue="y+EV816jYU9z/+inlI/Yq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262</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111</v>
      </c>
      <c r="C8" s="125"/>
      <c r="D8" s="125"/>
      <c r="E8" s="125"/>
      <c r="F8" s="126"/>
      <c r="G8" s="1"/>
    </row>
    <row r="9" spans="1:7" ht="15" customHeight="1" x14ac:dyDescent="0.25">
      <c r="A9" s="1"/>
      <c r="B9" s="67" t="s">
        <v>112</v>
      </c>
      <c r="C9" s="119" t="s">
        <v>10</v>
      </c>
      <c r="D9" s="121"/>
      <c r="E9" s="119" t="s">
        <v>29</v>
      </c>
      <c r="F9" s="121"/>
      <c r="G9" s="1"/>
    </row>
    <row r="10" spans="1:7" x14ac:dyDescent="0.25">
      <c r="A10" s="1"/>
      <c r="B10" s="22" t="s">
        <v>234</v>
      </c>
      <c r="C10" s="9">
        <v>0</v>
      </c>
      <c r="D10" s="14" t="s">
        <v>3</v>
      </c>
      <c r="E10" s="9">
        <v>0</v>
      </c>
      <c r="F10" s="14" t="s">
        <v>3</v>
      </c>
      <c r="G10" s="1"/>
    </row>
    <row r="11" spans="1:7" ht="28.5" customHeight="1" x14ac:dyDescent="0.25">
      <c r="A11" s="1"/>
      <c r="B11" s="20" t="s">
        <v>148</v>
      </c>
      <c r="C11" s="12">
        <f>SUM(C10:C10)</f>
        <v>0</v>
      </c>
      <c r="D11" s="13" t="s">
        <v>3</v>
      </c>
      <c r="E11" s="12">
        <f>SUM(E10:E10)</f>
        <v>0</v>
      </c>
      <c r="F11" s="13" t="s">
        <v>3</v>
      </c>
      <c r="G11" s="1"/>
    </row>
    <row r="12" spans="1:7" ht="27" customHeight="1" x14ac:dyDescent="0.25">
      <c r="A12" s="1"/>
      <c r="B12" s="20" t="s">
        <v>188</v>
      </c>
      <c r="C12" s="12">
        <f>C11*(1+'Fane 14. Nøgletal'!C15)</f>
        <v>0</v>
      </c>
      <c r="D12" s="13" t="s">
        <v>3</v>
      </c>
      <c r="E12" s="12">
        <f>E11*(1+'Fane 14.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0iybumdPAYRNIffZKnyTewrTEd/0HZgHdl4+3gBuTcuCvvL/e2VebbMsgKCVhF1bVVp5dLSqdoAaTstiroB8w==" saltValue="hGmJWFO185u1qFdhoP5fw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263</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4" t="s">
        <v>85</v>
      </c>
      <c r="C10" s="125"/>
      <c r="D10" s="125"/>
      <c r="E10" s="125"/>
      <c r="F10" s="126"/>
      <c r="G10" s="1"/>
    </row>
    <row r="11" spans="1:7" ht="26.25" customHeight="1" x14ac:dyDescent="0.25">
      <c r="A11" s="1"/>
      <c r="B11" s="67" t="s">
        <v>16</v>
      </c>
      <c r="C11" s="119" t="s">
        <v>10</v>
      </c>
      <c r="D11" s="121"/>
      <c r="E11" s="119" t="s">
        <v>29</v>
      </c>
      <c r="F11" s="121"/>
      <c r="G11" s="1"/>
    </row>
    <row r="12" spans="1:7" x14ac:dyDescent="0.25">
      <c r="A12" s="1"/>
      <c r="B12" s="22" t="s">
        <v>235</v>
      </c>
      <c r="C12" s="9">
        <v>0</v>
      </c>
      <c r="D12" s="14" t="s">
        <v>3</v>
      </c>
      <c r="E12" s="9">
        <v>0</v>
      </c>
      <c r="F12" s="14" t="s">
        <v>3</v>
      </c>
      <c r="G12" s="1"/>
    </row>
    <row r="13" spans="1:7" x14ac:dyDescent="0.25">
      <c r="A13" s="1"/>
      <c r="B13" s="65" t="s">
        <v>195</v>
      </c>
      <c r="C13" s="12">
        <f>SUM(C12:C12)</f>
        <v>0</v>
      </c>
      <c r="D13" s="13" t="s">
        <v>3</v>
      </c>
      <c r="E13" s="12">
        <f>SUM(E12:E12)</f>
        <v>0</v>
      </c>
      <c r="F13" s="13" t="s">
        <v>3</v>
      </c>
      <c r="G13" s="1"/>
    </row>
    <row r="14" spans="1:7" x14ac:dyDescent="0.25">
      <c r="A14" s="1"/>
      <c r="B14" s="65" t="s">
        <v>83</v>
      </c>
      <c r="C14" s="12">
        <f>C13*(1+'Fane 14. Nøgletal'!C15)</f>
        <v>0</v>
      </c>
      <c r="D14" s="13" t="s">
        <v>3</v>
      </c>
      <c r="E14" s="12">
        <f>E13*(1+'Fane 14.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A1sWY5Wwy0tHcSwUU2MV2+dXq4Ho45/HEETouv8f5l0irmXRqXm/bExqz8IQZcsAdvo3uK8hBffDKBIfDXVsg==" saltValue="VKqECSEBQ4KJkT2WhKl/1w==" spinCount="100000" sheet="1" objects="1" scenarios="1"/>
  <mergeCells count="4">
    <mergeCell ref="B3:F4"/>
    <mergeCell ref="B10:F10"/>
    <mergeCell ref="E11:F11"/>
    <mergeCell ref="C11:D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dimension ref="A1:D49"/>
  <sheetViews>
    <sheetView showGridLines="0" view="pageLayout" zoomScaleNormal="100" workbookViewId="0">
      <selection activeCell="C24" sqref="C24"/>
    </sheetView>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09" t="s">
        <v>264</v>
      </c>
      <c r="C3" s="109"/>
      <c r="D3" s="1"/>
    </row>
    <row r="4" spans="1:4" ht="25.5" customHeight="1" x14ac:dyDescent="0.25">
      <c r="A4" s="1"/>
      <c r="B4" s="109"/>
      <c r="C4" s="10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5" t="s">
        <v>13</v>
      </c>
      <c r="C8" s="45"/>
      <c r="D8" s="1"/>
    </row>
    <row r="9" spans="1:4" x14ac:dyDescent="0.25">
      <c r="A9" s="1"/>
      <c r="B9" s="77" t="s">
        <v>100</v>
      </c>
      <c r="C9" s="46">
        <v>1.2699999999999999E-2</v>
      </c>
      <c r="D9" s="1"/>
    </row>
    <row r="10" spans="1:4" x14ac:dyDescent="0.25">
      <c r="A10" s="1"/>
      <c r="B10" s="77" t="s">
        <v>21</v>
      </c>
      <c r="C10" s="46">
        <v>1.7500000000000002E-2</v>
      </c>
      <c r="D10" s="1"/>
    </row>
    <row r="11" spans="1:4" x14ac:dyDescent="0.25">
      <c r="A11" s="1"/>
      <c r="B11" s="77" t="s">
        <v>101</v>
      </c>
      <c r="C11" s="46">
        <v>1.6899999999999998E-2</v>
      </c>
      <c r="D11" s="1"/>
    </row>
    <row r="12" spans="1:4" x14ac:dyDescent="0.25">
      <c r="A12" s="1"/>
      <c r="B12" s="24" t="s">
        <v>37</v>
      </c>
      <c r="C12" s="47">
        <v>1.9699999999999999E-2</v>
      </c>
      <c r="D12" s="1"/>
    </row>
    <row r="13" spans="1:4" x14ac:dyDescent="0.25">
      <c r="A13" s="1"/>
      <c r="B13" s="24" t="s">
        <v>117</v>
      </c>
      <c r="C13" s="47">
        <v>1.2200000000000001E-2</v>
      </c>
      <c r="D13" s="1"/>
    </row>
    <row r="14" spans="1:4" x14ac:dyDescent="0.25">
      <c r="A14" s="1"/>
      <c r="B14" s="24" t="s">
        <v>149</v>
      </c>
      <c r="C14" s="48">
        <v>3.3E-3</v>
      </c>
      <c r="D14" s="1"/>
    </row>
    <row r="15" spans="1:4" x14ac:dyDescent="0.25">
      <c r="A15" s="1"/>
      <c r="B15" s="24" t="s">
        <v>189</v>
      </c>
      <c r="C15" s="48">
        <v>3.56E-2</v>
      </c>
      <c r="D15" s="1"/>
    </row>
    <row r="16" spans="1:4" x14ac:dyDescent="0.25">
      <c r="A16" s="1"/>
      <c r="B16" s="124"/>
      <c r="C16" s="126"/>
      <c r="D16" s="1"/>
    </row>
    <row r="17" spans="1:4" x14ac:dyDescent="0.25">
      <c r="A17" s="1"/>
      <c r="B17" s="1"/>
      <c r="C17" s="44"/>
      <c r="D17" s="1"/>
    </row>
    <row r="18" spans="1:4" x14ac:dyDescent="0.25">
      <c r="A18" s="1"/>
      <c r="B18" s="1"/>
      <c r="C18" s="44"/>
      <c r="D18" s="1"/>
    </row>
    <row r="19" spans="1:4" x14ac:dyDescent="0.25">
      <c r="A19" s="1"/>
      <c r="B19" s="65" t="s">
        <v>89</v>
      </c>
      <c r="C19" s="45"/>
      <c r="D19" s="1"/>
    </row>
    <row r="20" spans="1:4" x14ac:dyDescent="0.25">
      <c r="A20" s="1"/>
      <c r="B20" s="77" t="s">
        <v>102</v>
      </c>
      <c r="C20" s="48">
        <v>9.1000000000000004E-3</v>
      </c>
      <c r="D20" s="1"/>
    </row>
    <row r="21" spans="1:4" x14ac:dyDescent="0.25">
      <c r="A21" s="1"/>
      <c r="B21" s="77" t="s">
        <v>103</v>
      </c>
      <c r="C21" s="48">
        <v>1.77E-2</v>
      </c>
      <c r="D21" s="1"/>
    </row>
    <row r="22" spans="1:4" x14ac:dyDescent="0.25">
      <c r="A22" s="1"/>
      <c r="B22" s="77" t="s">
        <v>104</v>
      </c>
      <c r="C22" s="48">
        <v>8.6999999999999994E-3</v>
      </c>
      <c r="D22" s="1"/>
    </row>
    <row r="23" spans="1:4" x14ac:dyDescent="0.25">
      <c r="A23" s="1"/>
      <c r="B23" s="77" t="s">
        <v>105</v>
      </c>
      <c r="C23" s="48">
        <v>2.8399999999999998E-2</v>
      </c>
      <c r="D23" s="1"/>
    </row>
    <row r="24" spans="1:4" x14ac:dyDescent="0.25">
      <c r="A24" s="1"/>
      <c r="B24" s="77" t="s">
        <v>119</v>
      </c>
      <c r="C24" s="48">
        <v>2.75E-2</v>
      </c>
      <c r="D24" s="1"/>
    </row>
    <row r="25" spans="1:4" x14ac:dyDescent="0.25">
      <c r="A25" s="1"/>
      <c r="B25" s="77" t="s">
        <v>150</v>
      </c>
      <c r="C25" s="48">
        <v>1.4800000000000001E-2</v>
      </c>
      <c r="D25" s="1"/>
    </row>
    <row r="26" spans="1:4" x14ac:dyDescent="0.25">
      <c r="A26" s="1"/>
      <c r="B26" s="24" t="s">
        <v>190</v>
      </c>
      <c r="C26" s="48">
        <v>0</v>
      </c>
      <c r="D26" s="1"/>
    </row>
    <row r="27" spans="1:4" x14ac:dyDescent="0.25">
      <c r="A27" s="1"/>
      <c r="B27" s="65"/>
      <c r="C27" s="45"/>
      <c r="D27" s="1"/>
    </row>
    <row r="28" spans="1:4" x14ac:dyDescent="0.25">
      <c r="A28" s="1"/>
      <c r="B28" s="1"/>
      <c r="C28" s="44"/>
      <c r="D28" s="1"/>
    </row>
    <row r="29" spans="1:4" x14ac:dyDescent="0.25">
      <c r="A29" s="1"/>
      <c r="B29" s="1"/>
      <c r="C29" s="44"/>
      <c r="D29" s="1"/>
    </row>
    <row r="30" spans="1:4" x14ac:dyDescent="0.25">
      <c r="A30" s="1"/>
      <c r="B30" s="65" t="s">
        <v>90</v>
      </c>
      <c r="C30" s="45"/>
      <c r="D30" s="1"/>
    </row>
    <row r="31" spans="1:4" x14ac:dyDescent="0.25">
      <c r="A31" s="1"/>
      <c r="B31" s="77" t="s">
        <v>106</v>
      </c>
      <c r="C31" s="46">
        <v>0.02</v>
      </c>
      <c r="D31" s="1"/>
    </row>
    <row r="32" spans="1:4" x14ac:dyDescent="0.25">
      <c r="A32" s="1"/>
      <c r="B32" s="65"/>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amGgu0ukc8HFkE81C+on9h8xMSXAju1QGO9+Q3TxZRd0zwiSAhQTodQ9l8w42U4pLBDMj9tpM8hkn/hnEGuFQg==" saltValue="I84ezm3k/yuMF4pwxnMkQ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election activeCell="C34" sqref="C34"/>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164</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65" t="s">
        <v>12</v>
      </c>
      <c r="C7" s="66"/>
      <c r="D7" s="19"/>
      <c r="E7" s="1"/>
    </row>
    <row r="8" spans="1:5" x14ac:dyDescent="0.25">
      <c r="A8" s="1"/>
      <c r="B8" s="73" t="s">
        <v>115</v>
      </c>
      <c r="C8" s="7">
        <f>'Fane 3. Omkostninger i ØR2022'!E20</f>
        <v>10495440.601718441</v>
      </c>
      <c r="D8" s="8" t="s">
        <v>3</v>
      </c>
      <c r="E8" s="1"/>
    </row>
    <row r="9" spans="1:5" ht="17.25" customHeight="1" x14ac:dyDescent="0.25">
      <c r="A9" s="1"/>
      <c r="B9" s="23" t="s">
        <v>35</v>
      </c>
      <c r="C9" s="7">
        <f>'Fane 11.1. Varige tillæg'!C13</f>
        <v>0</v>
      </c>
      <c r="D9" s="8" t="s">
        <v>3</v>
      </c>
      <c r="E9" s="1"/>
    </row>
    <row r="10" spans="1:5" ht="17.25" customHeight="1" x14ac:dyDescent="0.25">
      <c r="A10" s="1"/>
      <c r="B10" s="23" t="s">
        <v>36</v>
      </c>
      <c r="C10" s="9">
        <f>'Fane 11.1. Varige tillæg'!E13</f>
        <v>0</v>
      </c>
      <c r="D10" s="8" t="s">
        <v>3</v>
      </c>
      <c r="E10" s="1"/>
    </row>
    <row r="11" spans="1:5" ht="17.25" customHeight="1" x14ac:dyDescent="0.25">
      <c r="A11" s="1"/>
      <c r="B11" s="23" t="s">
        <v>26</v>
      </c>
      <c r="C11" s="9">
        <f>-'Fane 13. Bortfald'!C14</f>
        <v>0</v>
      </c>
      <c r="D11" s="8" t="s">
        <v>3</v>
      </c>
      <c r="E11" s="1"/>
    </row>
    <row r="12" spans="1:5" ht="17.25" customHeight="1" x14ac:dyDescent="0.25">
      <c r="A12" s="1"/>
      <c r="B12" s="23" t="s">
        <v>25</v>
      </c>
      <c r="C12" s="9">
        <f>-'Fane 13. Bortfald'!E14</f>
        <v>0</v>
      </c>
      <c r="D12" s="8" t="s">
        <v>3</v>
      </c>
      <c r="E12" s="1"/>
    </row>
    <row r="13" spans="1:5" ht="17.25" customHeight="1" x14ac:dyDescent="0.25">
      <c r="A13" s="1"/>
      <c r="B13" s="23" t="s">
        <v>113</v>
      </c>
      <c r="C13" s="9">
        <f>'Fane 12. Tilknyttet virksomhed'!C12</f>
        <v>0</v>
      </c>
      <c r="D13" s="8" t="s">
        <v>3</v>
      </c>
      <c r="E13" s="1"/>
    </row>
    <row r="14" spans="1:5" ht="17.25" customHeight="1" x14ac:dyDescent="0.25">
      <c r="A14" s="1"/>
      <c r="B14" s="23" t="s">
        <v>114</v>
      </c>
      <c r="C14" s="9">
        <f>'Fane 12. Tilknyttet virksomhed'!E12</f>
        <v>0</v>
      </c>
      <c r="D14" s="8" t="s">
        <v>3</v>
      </c>
      <c r="E14" s="1"/>
    </row>
    <row r="15" spans="1:5" ht="17.25" customHeight="1" x14ac:dyDescent="0.25">
      <c r="A15" s="1"/>
      <c r="B15" s="23" t="s">
        <v>17</v>
      </c>
      <c r="C15" s="9">
        <f>SUM(C8:C14)*'Fane 14. Nøgletal'!C15</f>
        <v>373637.68542117649</v>
      </c>
      <c r="D15" s="8" t="s">
        <v>3</v>
      </c>
      <c r="E15" s="1"/>
    </row>
    <row r="16" spans="1:5" ht="17.25" customHeight="1" x14ac:dyDescent="0.25">
      <c r="A16" s="1"/>
      <c r="B16" s="23" t="s">
        <v>9</v>
      </c>
      <c r="C16" s="9">
        <f>-SUM(C8,C9:C15)*'Fane 5. Individuelt eff. krav'!G9</f>
        <v>-204214.87015488654</v>
      </c>
      <c r="D16" s="8" t="s">
        <v>3</v>
      </c>
      <c r="E16" s="1"/>
    </row>
    <row r="17" spans="1:5" ht="17.25" customHeight="1" x14ac:dyDescent="0.25">
      <c r="A17" s="1"/>
      <c r="B17" s="23" t="s">
        <v>23</v>
      </c>
      <c r="C17" s="9">
        <f>-'Fane 4.1. Gen. krav - drift'!G43</f>
        <v>-137204.83549443787</v>
      </c>
      <c r="D17" s="8" t="s">
        <v>3</v>
      </c>
      <c r="E17" s="1"/>
    </row>
    <row r="18" spans="1:5" ht="17.25" customHeight="1" x14ac:dyDescent="0.25">
      <c r="A18" s="1"/>
      <c r="B18" s="23" t="s">
        <v>24</v>
      </c>
      <c r="C18" s="9">
        <f>-'Fane 4.2. Gen. krav - anlæg'!G43</f>
        <v>0</v>
      </c>
      <c r="D18" s="8" t="s">
        <v>3</v>
      </c>
      <c r="E18" s="1"/>
    </row>
    <row r="19" spans="1:5" ht="17.25" customHeight="1" x14ac:dyDescent="0.25">
      <c r="A19" s="1"/>
      <c r="B19" s="80" t="s">
        <v>19</v>
      </c>
      <c r="C19" s="10">
        <f>SUM(C8,C9:C18)</f>
        <v>10527658.581490291</v>
      </c>
      <c r="D19" s="11" t="s">
        <v>3</v>
      </c>
      <c r="E19" s="1"/>
    </row>
    <row r="20" spans="1:5" ht="15" customHeight="1" x14ac:dyDescent="0.25">
      <c r="A20" s="1"/>
      <c r="B20" s="65" t="s">
        <v>11</v>
      </c>
      <c r="C20" s="66"/>
      <c r="D20" s="19"/>
      <c r="E20" s="1"/>
    </row>
    <row r="21" spans="1:5" ht="15" customHeight="1" x14ac:dyDescent="0.25">
      <c r="A21" s="1"/>
      <c r="B21" s="67" t="s">
        <v>11</v>
      </c>
      <c r="C21" s="10">
        <f>'Fane 6. Ikke-påvirkelige omk.'!C16</f>
        <v>16979298.95365056</v>
      </c>
      <c r="D21" s="11" t="s">
        <v>3</v>
      </c>
      <c r="E21" s="1"/>
    </row>
    <row r="22" spans="1:5" ht="15" customHeight="1" x14ac:dyDescent="0.25">
      <c r="A22" s="1"/>
      <c r="B22" s="65" t="s">
        <v>80</v>
      </c>
      <c r="C22" s="66"/>
      <c r="D22" s="19"/>
      <c r="E22" s="1"/>
    </row>
    <row r="23" spans="1:5" ht="15" customHeight="1" x14ac:dyDescent="0.25">
      <c r="A23" s="1"/>
      <c r="B23" s="23" t="s">
        <v>76</v>
      </c>
      <c r="C23" s="9">
        <f>'Fane 11.2. Engangstillæg'!C13</f>
        <v>0</v>
      </c>
      <c r="D23" s="8" t="s">
        <v>3</v>
      </c>
      <c r="E23" s="1"/>
    </row>
    <row r="24" spans="1:5" ht="15" customHeight="1" x14ac:dyDescent="0.25">
      <c r="A24" s="1"/>
      <c r="B24" s="23" t="s">
        <v>77</v>
      </c>
      <c r="C24" s="9">
        <f>'Fane 11.2. Engangstillæg'!E13</f>
        <v>0</v>
      </c>
      <c r="D24" s="8" t="s">
        <v>3</v>
      </c>
      <c r="E24" s="1"/>
    </row>
    <row r="25" spans="1:5" ht="15" customHeight="1" x14ac:dyDescent="0.25">
      <c r="A25" s="1"/>
      <c r="B25" s="23" t="s">
        <v>205</v>
      </c>
      <c r="C25" s="9">
        <f>-C23*('Fane 14. Nøgletal'!C31+'Fane 5. Individuelt eff. krav'!G9)</f>
        <v>0</v>
      </c>
      <c r="D25" s="8" t="s">
        <v>3</v>
      </c>
      <c r="E25" s="1"/>
    </row>
    <row r="26" spans="1:5" ht="15" customHeight="1" x14ac:dyDescent="0.25">
      <c r="A26" s="1"/>
      <c r="B26" s="23" t="s">
        <v>206</v>
      </c>
      <c r="C26" s="9">
        <f>-C24*('Fane 14. Nøgletal'!C26+'Fane 5. Individuelt eff. krav'!G9)</f>
        <v>0</v>
      </c>
      <c r="D26" s="8" t="s">
        <v>3</v>
      </c>
      <c r="E26" s="1"/>
    </row>
    <row r="27" spans="1:5" x14ac:dyDescent="0.25">
      <c r="A27" s="1"/>
      <c r="B27" s="80" t="s">
        <v>81</v>
      </c>
      <c r="C27" s="50">
        <f>SUM(C23:C26)</f>
        <v>0</v>
      </c>
      <c r="D27" s="11" t="s">
        <v>3</v>
      </c>
      <c r="E27" s="1"/>
    </row>
    <row r="28" spans="1:5" ht="15" customHeight="1" x14ac:dyDescent="0.25">
      <c r="A28" s="1"/>
      <c r="B28" s="25" t="s">
        <v>127</v>
      </c>
      <c r="C28" s="66"/>
      <c r="D28" s="19"/>
      <c r="E28" s="1"/>
    </row>
    <row r="29" spans="1:5" x14ac:dyDescent="0.25">
      <c r="A29" s="1"/>
      <c r="B29" s="78" t="s">
        <v>128</v>
      </c>
      <c r="C29" s="10">
        <f>'Fane 7. Kontrol af ØR2021'!E31</f>
        <v>-1371327.4409785159</v>
      </c>
      <c r="D29" s="11" t="s">
        <v>3</v>
      </c>
      <c r="E29" s="1"/>
    </row>
    <row r="30" spans="1:5" x14ac:dyDescent="0.25">
      <c r="A30" s="1"/>
      <c r="B30" s="25" t="s">
        <v>256</v>
      </c>
      <c r="C30" s="66"/>
      <c r="D30" s="19"/>
      <c r="E30" s="1"/>
    </row>
    <row r="31" spans="1:5" x14ac:dyDescent="0.25">
      <c r="A31" s="1"/>
      <c r="B31" s="78" t="s">
        <v>257</v>
      </c>
      <c r="C31" s="10">
        <f>'Fane 9. Korrektion af ØR2021'!E13</f>
        <v>36622.032520934008</v>
      </c>
      <c r="D31" s="11" t="s">
        <v>3</v>
      </c>
      <c r="E31" s="1"/>
    </row>
    <row r="32" spans="1:5" x14ac:dyDescent="0.25">
      <c r="A32" s="1"/>
      <c r="B32" s="25" t="s">
        <v>152</v>
      </c>
      <c r="C32" s="66"/>
      <c r="D32" s="19"/>
      <c r="E32" s="1"/>
    </row>
    <row r="33" spans="1:5" x14ac:dyDescent="0.25">
      <c r="A33" s="1"/>
      <c r="B33" s="78" t="s">
        <v>153</v>
      </c>
      <c r="C33" s="10">
        <f>'Fane 8. Skattesagen'!G12</f>
        <v>0</v>
      </c>
      <c r="D33" s="11" t="s">
        <v>3</v>
      </c>
      <c r="E33" s="1"/>
    </row>
    <row r="34" spans="1:5" x14ac:dyDescent="0.25">
      <c r="A34" s="1"/>
      <c r="B34" s="65" t="s">
        <v>84</v>
      </c>
      <c r="C34" s="36">
        <f>SUM(C19,C21,C27,C29,C31,C33)</f>
        <v>26172252.126683269</v>
      </c>
      <c r="D34" s="19" t="s">
        <v>3</v>
      </c>
      <c r="E34" s="1"/>
    </row>
    <row r="35" spans="1:5" x14ac:dyDescent="0.25">
      <c r="A35" s="1"/>
      <c r="B35" s="1" t="s">
        <v>209</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Ly6aeVTovkd5urfbh1GREj7mpOijou1T8CcGwiok92c2+cLQJmbUJKFBC8g4TCqkKYs5/i8moth3bea2g3imEA==" saltValue="H8D4ttAx+Q2rLq6rM//o/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65" t="s">
        <v>12</v>
      </c>
      <c r="C7" s="66"/>
      <c r="D7" s="19"/>
      <c r="E7" s="1"/>
    </row>
    <row r="8" spans="1:5" ht="15" customHeight="1" x14ac:dyDescent="0.25">
      <c r="A8" s="1"/>
      <c r="B8" s="73" t="s">
        <v>116</v>
      </c>
      <c r="C8" s="7">
        <f>'Fane 2.1. Økonomisk ramme 2023'!C19</f>
        <v>10527658.581490291</v>
      </c>
      <c r="D8" s="8" t="s">
        <v>3</v>
      </c>
      <c r="E8" s="1"/>
    </row>
    <row r="9" spans="1:5" ht="15" customHeight="1" x14ac:dyDescent="0.25">
      <c r="A9" s="1"/>
      <c r="B9" s="62" t="s">
        <v>17</v>
      </c>
      <c r="C9" s="9">
        <f>SUM(C8:C8)*'Fane 14. Nøgletal'!C15</f>
        <v>374784.64550105436</v>
      </c>
      <c r="D9" s="8" t="s">
        <v>3</v>
      </c>
      <c r="E9" s="1"/>
    </row>
    <row r="10" spans="1:5" ht="15" customHeight="1" x14ac:dyDescent="0.25">
      <c r="A10" s="1"/>
      <c r="B10" s="62" t="s">
        <v>9</v>
      </c>
      <c r="C10" s="9">
        <f>-SUM(C8:C9)*'Fane 5. Individuelt eff. krav'!G9</f>
        <v>-204841.75098871111</v>
      </c>
      <c r="D10" s="8" t="s">
        <v>3</v>
      </c>
      <c r="E10" s="1"/>
    </row>
    <row r="11" spans="1:5" ht="15" customHeight="1" x14ac:dyDescent="0.25">
      <c r="A11" s="1"/>
      <c r="B11" s="62" t="s">
        <v>23</v>
      </c>
      <c r="C11" s="9">
        <f>-'Fane 4.1. Gen. krav - drift'!G48</f>
        <v>-139247.54108527905</v>
      </c>
      <c r="D11" s="8" t="s">
        <v>3</v>
      </c>
      <c r="E11" s="1"/>
    </row>
    <row r="12" spans="1:5" ht="15" customHeight="1" x14ac:dyDescent="0.25">
      <c r="A12" s="1"/>
      <c r="B12" s="62" t="s">
        <v>24</v>
      </c>
      <c r="C12" s="9">
        <f>-'Fane 4.2. Gen. krav - anlæg'!G48</f>
        <v>0</v>
      </c>
      <c r="D12" s="8" t="s">
        <v>3</v>
      </c>
      <c r="E12" s="1"/>
    </row>
    <row r="13" spans="1:5" ht="15" customHeight="1" x14ac:dyDescent="0.25">
      <c r="A13" s="1"/>
      <c r="B13" s="33" t="s">
        <v>19</v>
      </c>
      <c r="C13" s="10">
        <f>SUM(C8:C12)</f>
        <v>10558353.934917357</v>
      </c>
      <c r="D13" s="11" t="s">
        <v>3</v>
      </c>
      <c r="E13" s="1"/>
    </row>
    <row r="14" spans="1:5" x14ac:dyDescent="0.25">
      <c r="A14" s="1"/>
      <c r="B14" s="65" t="s">
        <v>11</v>
      </c>
      <c r="C14" s="66"/>
      <c r="D14" s="19"/>
      <c r="E14" s="1"/>
    </row>
    <row r="15" spans="1:5" ht="15" customHeight="1" x14ac:dyDescent="0.25">
      <c r="A15" s="1"/>
      <c r="B15" s="67" t="s">
        <v>11</v>
      </c>
      <c r="C15" s="10">
        <f>'Fane 6. Ikke-påvirkelige omk.'!C16*(1+'Fane 14. Nøgletal'!C15)</f>
        <v>17583761.99640052</v>
      </c>
      <c r="D15" s="11" t="s">
        <v>3</v>
      </c>
      <c r="E15" s="1"/>
    </row>
    <row r="16" spans="1:5" x14ac:dyDescent="0.25">
      <c r="A16" s="1"/>
      <c r="B16" s="25" t="s">
        <v>127</v>
      </c>
      <c r="C16" s="66"/>
      <c r="D16" s="19"/>
      <c r="E16" s="1"/>
    </row>
    <row r="17" spans="1:5" ht="15" customHeight="1" x14ac:dyDescent="0.25">
      <c r="A17" s="1"/>
      <c r="B17" s="78" t="s">
        <v>128</v>
      </c>
      <c r="C17" s="10">
        <f>'Fane 7. Kontrol af ØR2021'!E31</f>
        <v>-1371327.4409785159</v>
      </c>
      <c r="D17" s="11" t="s">
        <v>3</v>
      </c>
      <c r="E17" s="1"/>
    </row>
    <row r="18" spans="1:5" x14ac:dyDescent="0.25">
      <c r="A18" s="1"/>
      <c r="B18" s="25" t="s">
        <v>152</v>
      </c>
      <c r="C18" s="66"/>
      <c r="D18" s="19"/>
      <c r="E18" s="1"/>
    </row>
    <row r="19" spans="1:5" x14ac:dyDescent="0.25">
      <c r="A19" s="1"/>
      <c r="B19" s="78" t="s">
        <v>153</v>
      </c>
      <c r="C19" s="10">
        <f>'Fane 8. Skattesagen'!G13</f>
        <v>0</v>
      </c>
      <c r="D19" s="11" t="s">
        <v>3</v>
      </c>
      <c r="E19" s="1"/>
    </row>
    <row r="20" spans="1:5" x14ac:dyDescent="0.25">
      <c r="A20" s="1"/>
      <c r="B20" s="65" t="s">
        <v>137</v>
      </c>
      <c r="C20" s="12">
        <f>SUM(C13,C15,C17,C19)</f>
        <v>26770788.490339361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G95ZsmjebNwq6IRqGnW7y9/wJZJH0Gm0uGI0FAaf3yoobNVlCcMilsiMYzWNT07wI+aeOlOY916EzzPYURWdDw==" saltValue="8vBZq6/ECUxOK+16rPxgb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5" t="s">
        <v>12</v>
      </c>
      <c r="C7" s="66"/>
      <c r="D7" s="19"/>
      <c r="E7" s="1"/>
    </row>
    <row r="8" spans="1:5" ht="15" customHeight="1" x14ac:dyDescent="0.25">
      <c r="A8" s="1"/>
      <c r="B8" s="73" t="s">
        <v>138</v>
      </c>
      <c r="C8" s="7">
        <f>'Fane 2.2. Økonomisk ramme 2024'!C13</f>
        <v>10558353.934917357</v>
      </c>
      <c r="D8" s="8" t="s">
        <v>3</v>
      </c>
      <c r="E8" s="1"/>
    </row>
    <row r="9" spans="1:5" ht="15" customHeight="1" x14ac:dyDescent="0.25">
      <c r="A9" s="1"/>
      <c r="B9" s="62" t="s">
        <v>17</v>
      </c>
      <c r="C9" s="9">
        <f>SUM(C8:C8)*'Fane 14. Nøgletal'!C15</f>
        <v>375877.40008305787</v>
      </c>
      <c r="D9" s="8" t="s">
        <v>3</v>
      </c>
      <c r="E9" s="1"/>
    </row>
    <row r="10" spans="1:5" ht="15" customHeight="1" x14ac:dyDescent="0.25">
      <c r="A10" s="1"/>
      <c r="B10" s="62" t="s">
        <v>9</v>
      </c>
      <c r="C10" s="9">
        <f>-SUM(C8:C9)*'Fane 5. Individuelt eff. krav'!G9</f>
        <v>-205439.00534442058</v>
      </c>
      <c r="D10" s="8" t="s">
        <v>3</v>
      </c>
      <c r="E10" s="1"/>
    </row>
    <row r="11" spans="1:5" ht="15" customHeight="1" x14ac:dyDescent="0.25">
      <c r="A11" s="1"/>
      <c r="B11" s="62" t="s">
        <v>23</v>
      </c>
      <c r="C11" s="9">
        <f>-'Fane 4.1. Gen. krav - drift'!G53</f>
        <v>-141320.65847695668</v>
      </c>
      <c r="D11" s="8" t="s">
        <v>3</v>
      </c>
      <c r="E11" s="1"/>
    </row>
    <row r="12" spans="1:5" ht="15" customHeight="1" x14ac:dyDescent="0.25">
      <c r="A12" s="1"/>
      <c r="B12" s="62" t="s">
        <v>24</v>
      </c>
      <c r="C12" s="27">
        <f>-'Fane 4.2. Gen. krav - anlæg'!G53</f>
        <v>0</v>
      </c>
      <c r="D12" s="8" t="s">
        <v>3</v>
      </c>
      <c r="E12" s="1"/>
    </row>
    <row r="13" spans="1:5" x14ac:dyDescent="0.25">
      <c r="A13" s="1"/>
      <c r="B13" s="33" t="s">
        <v>19</v>
      </c>
      <c r="C13" s="10">
        <f>SUM(C8:C12)</f>
        <v>10587471.671179038</v>
      </c>
      <c r="D13" s="11" t="s">
        <v>3</v>
      </c>
      <c r="E13" s="1"/>
    </row>
    <row r="14" spans="1:5" x14ac:dyDescent="0.25">
      <c r="A14" s="1"/>
      <c r="B14" s="65" t="s">
        <v>11</v>
      </c>
      <c r="C14" s="66"/>
      <c r="D14" s="19"/>
      <c r="E14" s="1"/>
    </row>
    <row r="15" spans="1:5" ht="15" customHeight="1" x14ac:dyDescent="0.25">
      <c r="A15" s="1"/>
      <c r="B15" s="67" t="s">
        <v>11</v>
      </c>
      <c r="C15" s="10">
        <f>'Fane 6. Ikke-påvirkelige omk.'!C16*(1+'Fane 14. Nøgletal'!C15)^2</f>
        <v>18209743.923472378</v>
      </c>
      <c r="D15" s="11" t="s">
        <v>3</v>
      </c>
      <c r="E15" s="1"/>
    </row>
    <row r="16" spans="1:5" x14ac:dyDescent="0.25">
      <c r="A16" s="1"/>
      <c r="B16" s="65" t="s">
        <v>127</v>
      </c>
      <c r="C16" s="66"/>
      <c r="D16" s="19"/>
      <c r="E16" s="1"/>
    </row>
    <row r="17" spans="1:5" x14ac:dyDescent="0.25">
      <c r="A17" s="1"/>
      <c r="B17" s="67" t="s">
        <v>128</v>
      </c>
      <c r="C17" s="10">
        <v>0</v>
      </c>
      <c r="D17" s="11" t="s">
        <v>3</v>
      </c>
      <c r="E17" s="1"/>
    </row>
    <row r="18" spans="1:5" ht="15" customHeight="1" x14ac:dyDescent="0.25">
      <c r="A18" s="1"/>
      <c r="B18" s="25" t="s">
        <v>152</v>
      </c>
      <c r="C18" s="66"/>
      <c r="D18" s="19"/>
      <c r="E18" s="1"/>
    </row>
    <row r="19" spans="1:5" ht="15" customHeight="1" x14ac:dyDescent="0.25">
      <c r="A19" s="1"/>
      <c r="B19" s="78" t="s">
        <v>153</v>
      </c>
      <c r="C19" s="10">
        <f>'Fane 8. Skattesagen'!G14</f>
        <v>0</v>
      </c>
      <c r="D19" s="11" t="s">
        <v>3</v>
      </c>
      <c r="E19" s="1"/>
    </row>
    <row r="20" spans="1:5" x14ac:dyDescent="0.25">
      <c r="A20" s="1"/>
      <c r="B20" s="65" t="s">
        <v>139</v>
      </c>
      <c r="C20" s="12">
        <f>SUM(C13,C15,C17,C19)</f>
        <v>28797215.594651416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PQhaCvVx1B4cr4JGVD//eiOS66fCUMUrolAKGwvsKsyX+GoY367I5o1RgWEnx9x0dUsCvHt2q7PqVHNbt1Gw==" saltValue="GXbZxHfAU5z8l1ykWcjn+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5" t="s">
        <v>12</v>
      </c>
      <c r="C7" s="66"/>
      <c r="D7" s="19"/>
      <c r="E7" s="1"/>
    </row>
    <row r="8" spans="1:5" ht="15" customHeight="1" x14ac:dyDescent="0.25">
      <c r="A8" s="1"/>
      <c r="B8" s="73" t="s">
        <v>168</v>
      </c>
      <c r="C8" s="7">
        <f>'Fane 2.3. Økonomisk ramme 2025'!C13</f>
        <v>10587471.671179038</v>
      </c>
      <c r="D8" s="8" t="s">
        <v>3</v>
      </c>
      <c r="E8" s="1"/>
    </row>
    <row r="9" spans="1:5" ht="15" customHeight="1" x14ac:dyDescent="0.25">
      <c r="A9" s="1"/>
      <c r="B9" s="62" t="s">
        <v>17</v>
      </c>
      <c r="C9" s="9">
        <f>SUM(C8:C8)*'Fane 14. Nøgletal'!C15</f>
        <v>376913.99149397371</v>
      </c>
      <c r="D9" s="8" t="s">
        <v>3</v>
      </c>
      <c r="E9" s="1"/>
    </row>
    <row r="10" spans="1:5" ht="15" customHeight="1" x14ac:dyDescent="0.25">
      <c r="A10" s="1"/>
      <c r="B10" s="62" t="s">
        <v>9</v>
      </c>
      <c r="C10" s="9">
        <f>-SUM(C8:C9)*'Fane 5. Individuelt eff. krav'!G9</f>
        <v>-206005.56323898956</v>
      </c>
      <c r="D10" s="8" t="s">
        <v>3</v>
      </c>
      <c r="E10" s="1"/>
    </row>
    <row r="11" spans="1:5" ht="15" customHeight="1" x14ac:dyDescent="0.25">
      <c r="A11" s="1"/>
      <c r="B11" s="62" t="s">
        <v>23</v>
      </c>
      <c r="C11" s="9">
        <f>-'Fane 4.1. Gen. krav - drift'!G58</f>
        <v>-143424.64044036163</v>
      </c>
      <c r="D11" s="8" t="s">
        <v>3</v>
      </c>
      <c r="E11" s="1"/>
    </row>
    <row r="12" spans="1:5" ht="15" customHeight="1" x14ac:dyDescent="0.25">
      <c r="A12" s="1"/>
      <c r="B12" s="62" t="s">
        <v>24</v>
      </c>
      <c r="C12" s="9">
        <f>-'Fane 4.2. Gen. krav - anlæg'!G58</f>
        <v>0</v>
      </c>
      <c r="D12" s="8" t="s">
        <v>3</v>
      </c>
      <c r="E12" s="1"/>
    </row>
    <row r="13" spans="1:5" x14ac:dyDescent="0.25">
      <c r="A13" s="1"/>
      <c r="B13" s="33" t="s">
        <v>19</v>
      </c>
      <c r="C13" s="10">
        <f>SUM(C8:C12)</f>
        <v>10614955.45899366</v>
      </c>
      <c r="D13" s="11" t="s">
        <v>3</v>
      </c>
      <c r="E13" s="1"/>
    </row>
    <row r="14" spans="1:5" x14ac:dyDescent="0.25">
      <c r="A14" s="1"/>
      <c r="B14" s="65" t="s">
        <v>11</v>
      </c>
      <c r="C14" s="66"/>
      <c r="D14" s="19"/>
      <c r="E14" s="1"/>
    </row>
    <row r="15" spans="1:5" ht="15" customHeight="1" x14ac:dyDescent="0.25">
      <c r="A15" s="1"/>
      <c r="B15" s="67" t="s">
        <v>11</v>
      </c>
      <c r="C15" s="10">
        <f>'Fane 6. Ikke-påvirkelige omk.'!C16*(1+'Fane 14. Nøgletal'!C15)^3</f>
        <v>18858010.807147998</v>
      </c>
      <c r="D15" s="11" t="s">
        <v>3</v>
      </c>
      <c r="E15" s="1"/>
    </row>
    <row r="16" spans="1:5" x14ac:dyDescent="0.25">
      <c r="A16" s="1"/>
      <c r="B16" s="65" t="s">
        <v>127</v>
      </c>
      <c r="C16" s="66"/>
      <c r="D16" s="19"/>
      <c r="E16" s="1"/>
    </row>
    <row r="17" spans="1:5" x14ac:dyDescent="0.25">
      <c r="A17" s="1"/>
      <c r="B17" s="67" t="s">
        <v>128</v>
      </c>
      <c r="C17" s="10">
        <v>0</v>
      </c>
      <c r="D17" s="11" t="s">
        <v>3</v>
      </c>
      <c r="E17" s="1"/>
    </row>
    <row r="18" spans="1:5" x14ac:dyDescent="0.25">
      <c r="A18" s="1"/>
      <c r="B18" s="25" t="s">
        <v>152</v>
      </c>
      <c r="C18" s="66"/>
      <c r="D18" s="19"/>
      <c r="E18" s="1"/>
    </row>
    <row r="19" spans="1:5" x14ac:dyDescent="0.25">
      <c r="A19" s="1"/>
      <c r="B19" s="78" t="s">
        <v>153</v>
      </c>
      <c r="C19" s="10">
        <f>'Fane 8. Skattesagen'!G15</f>
        <v>0</v>
      </c>
      <c r="D19" s="11" t="s">
        <v>3</v>
      </c>
      <c r="E19" s="1"/>
    </row>
    <row r="20" spans="1:5" x14ac:dyDescent="0.25">
      <c r="A20" s="1"/>
      <c r="B20" s="65" t="s">
        <v>169</v>
      </c>
      <c r="C20" s="12">
        <f>SUM(C13,C15,C17,C19)</f>
        <v>29472966.266141661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k+Cg7qbLPT3SH8MqjcXufju9dB9CYrH99m15gIgsFXq7LFbb1sHSbBDgSDPMsX+uwr9w7X7+UBlzS0kKQXgYw==" saltValue="Piqv8/yanMc1FbsaNN/Tm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3.42578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170</v>
      </c>
      <c r="C3" s="109"/>
      <c r="D3" s="109"/>
      <c r="E3" s="109"/>
      <c r="F3" s="109"/>
      <c r="G3" s="1"/>
    </row>
    <row r="4" spans="1:7" ht="29.2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171</v>
      </c>
      <c r="C8" s="66"/>
      <c r="D8" s="66"/>
      <c r="E8" s="66"/>
      <c r="F8" s="19"/>
      <c r="G8" s="1"/>
    </row>
    <row r="9" spans="1:7" x14ac:dyDescent="0.25">
      <c r="A9" s="1"/>
      <c r="B9" s="110" t="s">
        <v>22</v>
      </c>
      <c r="C9" s="111"/>
      <c r="D9" s="112"/>
      <c r="E9" s="7">
        <v>10474516.740028528</v>
      </c>
      <c r="F9" s="8" t="s">
        <v>3</v>
      </c>
      <c r="G9" s="1"/>
    </row>
    <row r="10" spans="1:7" ht="15" customHeight="1" x14ac:dyDescent="0.25">
      <c r="A10" s="1"/>
      <c r="B10" s="103" t="s">
        <v>35</v>
      </c>
      <c r="C10" s="104"/>
      <c r="D10" s="105"/>
      <c r="E10" s="9">
        <v>0</v>
      </c>
      <c r="F10" s="8" t="s">
        <v>3</v>
      </c>
      <c r="G10" s="1"/>
    </row>
    <row r="11" spans="1:7" ht="15" customHeight="1" x14ac:dyDescent="0.25">
      <c r="A11" s="1"/>
      <c r="B11" s="103" t="s">
        <v>36</v>
      </c>
      <c r="C11" s="104"/>
      <c r="D11" s="105"/>
      <c r="E11" s="9">
        <v>358565.3738</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113</v>
      </c>
      <c r="C14" s="104"/>
      <c r="D14" s="105"/>
      <c r="E14" s="9">
        <v>0</v>
      </c>
      <c r="F14" s="8" t="s">
        <v>3</v>
      </c>
      <c r="G14" s="1"/>
    </row>
    <row r="15" spans="1:7" x14ac:dyDescent="0.25">
      <c r="A15" s="1"/>
      <c r="B15" s="103" t="s">
        <v>114</v>
      </c>
      <c r="C15" s="104"/>
      <c r="D15" s="105"/>
      <c r="E15" s="9">
        <v>0</v>
      </c>
      <c r="F15" s="8" t="s">
        <v>3</v>
      </c>
      <c r="G15" s="1"/>
    </row>
    <row r="16" spans="1:7" x14ac:dyDescent="0.25">
      <c r="A16" s="1"/>
      <c r="B16" s="103" t="s">
        <v>17</v>
      </c>
      <c r="C16" s="104"/>
      <c r="D16" s="105"/>
      <c r="E16" s="9">
        <v>128972.36996188806</v>
      </c>
      <c r="F16" s="8" t="s">
        <v>3</v>
      </c>
      <c r="G16" s="30"/>
    </row>
    <row r="17" spans="1:7" x14ac:dyDescent="0.25">
      <c r="A17" s="1"/>
      <c r="B17" s="103" t="s">
        <v>9</v>
      </c>
      <c r="C17" s="104"/>
      <c r="D17" s="105"/>
      <c r="E17" s="9">
        <v>-190137.90062713006</v>
      </c>
      <c r="F17" s="8" t="s">
        <v>3</v>
      </c>
      <c r="G17" s="1"/>
    </row>
    <row r="18" spans="1:7" x14ac:dyDescent="0.25">
      <c r="A18" s="1"/>
      <c r="B18" s="103" t="s">
        <v>23</v>
      </c>
      <c r="C18" s="104"/>
      <c r="D18" s="105"/>
      <c r="E18" s="9">
        <v>-135192.09557550962</v>
      </c>
      <c r="F18" s="8" t="s">
        <v>3</v>
      </c>
      <c r="G18" s="1"/>
    </row>
    <row r="19" spans="1:7" x14ac:dyDescent="0.25">
      <c r="A19" s="1"/>
      <c r="B19" s="103" t="s">
        <v>24</v>
      </c>
      <c r="C19" s="104"/>
      <c r="D19" s="105"/>
      <c r="E19" s="9">
        <v>-141283.88586933579</v>
      </c>
      <c r="F19" s="8" t="s">
        <v>3</v>
      </c>
      <c r="G19" s="1"/>
    </row>
    <row r="20" spans="1:7" x14ac:dyDescent="0.25">
      <c r="A20" s="1"/>
      <c r="B20" s="116" t="s">
        <v>19</v>
      </c>
      <c r="C20" s="117"/>
      <c r="D20" s="118"/>
      <c r="E20" s="31">
        <f>SUM(E9:E19)</f>
        <v>10495440.601718441</v>
      </c>
      <c r="F20" s="34" t="s">
        <v>3</v>
      </c>
      <c r="G20" s="1"/>
    </row>
    <row r="21" spans="1:7" x14ac:dyDescent="0.25">
      <c r="A21" s="1"/>
      <c r="B21" s="65" t="s">
        <v>11</v>
      </c>
      <c r="C21" s="66"/>
      <c r="D21" s="66"/>
      <c r="E21" s="66"/>
      <c r="F21" s="19"/>
      <c r="G21" s="1"/>
    </row>
    <row r="22" spans="1:7" x14ac:dyDescent="0.25">
      <c r="A22" s="1"/>
      <c r="B22" s="106" t="s">
        <v>11</v>
      </c>
      <c r="C22" s="107"/>
      <c r="D22" s="108"/>
      <c r="E22" s="10">
        <v>15344894.180634132</v>
      </c>
      <c r="F22" s="11" t="s">
        <v>3</v>
      </c>
      <c r="G22" s="1"/>
    </row>
    <row r="23" spans="1:7" ht="15" customHeight="1" x14ac:dyDescent="0.25">
      <c r="A23" s="1"/>
      <c r="B23" s="122" t="s">
        <v>80</v>
      </c>
      <c r="C23" s="123"/>
      <c r="D23" s="123"/>
      <c r="E23" s="66"/>
      <c r="F23" s="66"/>
      <c r="G23" s="1"/>
    </row>
    <row r="24" spans="1:7" ht="14.25" customHeight="1" x14ac:dyDescent="0.25">
      <c r="A24" s="1"/>
      <c r="B24" s="113" t="s">
        <v>76</v>
      </c>
      <c r="C24" s="114"/>
      <c r="D24" s="115"/>
      <c r="E24" s="9">
        <v>0</v>
      </c>
      <c r="F24" s="8" t="s">
        <v>3</v>
      </c>
      <c r="G24" s="1"/>
    </row>
    <row r="25" spans="1:7" ht="14.25" customHeight="1" x14ac:dyDescent="0.25">
      <c r="A25" s="1"/>
      <c r="B25" s="113" t="s">
        <v>77</v>
      </c>
      <c r="C25" s="114"/>
      <c r="D25" s="115"/>
      <c r="E25" s="9">
        <v>0</v>
      </c>
      <c r="F25" s="8" t="s">
        <v>3</v>
      </c>
      <c r="G25" s="1"/>
    </row>
    <row r="26" spans="1:7" x14ac:dyDescent="0.25">
      <c r="A26" s="1"/>
      <c r="B26" s="119" t="s">
        <v>81</v>
      </c>
      <c r="C26" s="120"/>
      <c r="D26" s="120"/>
      <c r="E26" s="10">
        <v>0</v>
      </c>
      <c r="F26" s="11" t="s">
        <v>3</v>
      </c>
      <c r="G26" s="1"/>
    </row>
    <row r="27" spans="1:7" x14ac:dyDescent="0.25">
      <c r="A27" s="1"/>
      <c r="B27" s="65" t="s">
        <v>127</v>
      </c>
      <c r="C27" s="66"/>
      <c r="D27" s="66"/>
      <c r="E27" s="66"/>
      <c r="F27" s="19"/>
      <c r="G27" s="1"/>
    </row>
    <row r="28" spans="1:7" ht="15" customHeight="1" x14ac:dyDescent="0.25">
      <c r="A28" s="1"/>
      <c r="B28" s="119" t="s">
        <v>128</v>
      </c>
      <c r="C28" s="120"/>
      <c r="D28" s="121"/>
      <c r="E28" s="10">
        <v>0</v>
      </c>
      <c r="F28" s="11" t="s">
        <v>3</v>
      </c>
      <c r="G28" s="1"/>
    </row>
    <row r="29" spans="1:7" x14ac:dyDescent="0.25">
      <c r="A29" s="1"/>
      <c r="B29" s="65" t="s">
        <v>158</v>
      </c>
      <c r="C29" s="66"/>
      <c r="D29" s="66"/>
      <c r="E29" s="66"/>
      <c r="F29" s="19"/>
      <c r="G29" s="1"/>
    </row>
    <row r="30" spans="1:7" ht="15.75" customHeight="1" x14ac:dyDescent="0.25">
      <c r="A30" s="1"/>
      <c r="B30" s="106" t="s">
        <v>159</v>
      </c>
      <c r="C30" s="107"/>
      <c r="D30" s="108"/>
      <c r="E30" s="10">
        <v>0</v>
      </c>
      <c r="F30" s="11" t="s">
        <v>3</v>
      </c>
      <c r="G30" s="1"/>
    </row>
    <row r="31" spans="1:7" ht="15.75" customHeight="1" x14ac:dyDescent="0.25">
      <c r="A31" s="1"/>
      <c r="B31" s="124" t="s">
        <v>152</v>
      </c>
      <c r="C31" s="125"/>
      <c r="D31" s="125"/>
      <c r="E31" s="125"/>
      <c r="F31" s="126"/>
      <c r="G31" s="1"/>
    </row>
    <row r="32" spans="1:7" ht="15.75" customHeight="1" x14ac:dyDescent="0.25">
      <c r="A32" s="1"/>
      <c r="B32" s="78" t="s">
        <v>153</v>
      </c>
      <c r="C32" s="10"/>
      <c r="D32" s="11"/>
      <c r="E32" s="10">
        <f>'Fane 8. Skattesagen'!G11</f>
        <v>0</v>
      </c>
      <c r="F32" s="11" t="s">
        <v>3</v>
      </c>
      <c r="G32" s="1"/>
    </row>
    <row r="33" spans="1:7" x14ac:dyDescent="0.25">
      <c r="A33" s="1"/>
      <c r="B33" s="35" t="s">
        <v>27</v>
      </c>
      <c r="C33" s="38"/>
      <c r="D33" s="38"/>
      <c r="E33" s="32">
        <f>E20+E22+E26+E28+E30+E32</f>
        <v>25840334.782352574</v>
      </c>
      <c r="F33" s="37" t="s">
        <v>3</v>
      </c>
      <c r="G33" s="1"/>
    </row>
    <row r="34" spans="1:7" ht="27.75" customHeight="1" x14ac:dyDescent="0.25">
      <c r="A34" s="1"/>
      <c r="B34" s="113" t="s">
        <v>172</v>
      </c>
      <c r="C34" s="114"/>
      <c r="D34" s="114"/>
      <c r="E34" s="114"/>
      <c r="F34" s="11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Wv57Cj3Ynr6ZBPzx0LKmgI172vDqjLlct69sLXaViuERkWNy7beFrj9pU8m3RzQhHdZPrxuSUGY+05LvZ9Dwg==" saltValue="OHV+2y6POjX/G71drJe4v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09" t="s">
        <v>97</v>
      </c>
      <c r="C1" s="109"/>
      <c r="D1" s="109"/>
      <c r="E1" s="109"/>
      <c r="F1" s="109"/>
      <c r="G1" s="109"/>
      <c r="H1" s="109"/>
      <c r="I1" s="1"/>
    </row>
    <row r="2" spans="1:9" ht="15" customHeight="1" x14ac:dyDescent="0.25">
      <c r="A2" s="1"/>
      <c r="B2" s="109"/>
      <c r="C2" s="109"/>
      <c r="D2" s="109"/>
      <c r="E2" s="109"/>
      <c r="F2" s="109"/>
      <c r="G2" s="109"/>
      <c r="H2" s="109"/>
      <c r="I2" s="1"/>
    </row>
    <row r="3" spans="1:9" ht="15" customHeight="1" x14ac:dyDescent="0.25">
      <c r="A3" s="1"/>
      <c r="B3" s="109"/>
      <c r="C3" s="109"/>
      <c r="D3" s="109"/>
      <c r="E3" s="109"/>
      <c r="F3" s="109"/>
      <c r="G3" s="109"/>
      <c r="H3" s="109"/>
      <c r="I3" s="1"/>
    </row>
    <row r="4" spans="1:9" x14ac:dyDescent="0.25">
      <c r="A4" s="1"/>
      <c r="B4" s="124" t="s">
        <v>49</v>
      </c>
      <c r="C4" s="125"/>
      <c r="D4" s="125"/>
      <c r="E4" s="125"/>
      <c r="F4" s="125"/>
      <c r="G4" s="125"/>
      <c r="H4" s="126"/>
      <c r="I4" s="1"/>
    </row>
    <row r="5" spans="1:9" x14ac:dyDescent="0.25">
      <c r="A5" s="1"/>
      <c r="B5" s="127" t="s">
        <v>38</v>
      </c>
      <c r="C5" s="128"/>
      <c r="D5" s="128"/>
      <c r="E5" s="128"/>
      <c r="F5" s="129"/>
      <c r="G5" s="55">
        <v>6912787.9186321767</v>
      </c>
      <c r="H5" s="14" t="s">
        <v>3</v>
      </c>
      <c r="I5" s="1"/>
    </row>
    <row r="6" spans="1:9" x14ac:dyDescent="0.25">
      <c r="A6" s="1"/>
      <c r="B6" s="127" t="s">
        <v>39</v>
      </c>
      <c r="C6" s="128"/>
      <c r="D6" s="128"/>
      <c r="E6" s="128"/>
      <c r="F6" s="129"/>
      <c r="G6" s="55">
        <f>G5*'Fane 14. Nøgletal'!C31</f>
        <v>138255.75837264353</v>
      </c>
      <c r="H6" s="14" t="s">
        <v>3</v>
      </c>
      <c r="I6" s="1"/>
    </row>
    <row r="7" spans="1:9" x14ac:dyDescent="0.25">
      <c r="A7" s="1"/>
      <c r="B7" s="65"/>
      <c r="C7" s="66"/>
      <c r="D7" s="66"/>
      <c r="E7" s="66"/>
      <c r="F7" s="66"/>
      <c r="G7" s="56"/>
      <c r="H7" s="19"/>
      <c r="I7" s="1"/>
    </row>
    <row r="8" spans="1:9" x14ac:dyDescent="0.25">
      <c r="A8" s="1"/>
      <c r="B8" s="1"/>
      <c r="C8" s="1"/>
      <c r="D8" s="1"/>
      <c r="E8" s="1"/>
      <c r="F8" s="1"/>
      <c r="G8" s="57"/>
      <c r="H8" s="1"/>
      <c r="I8" s="1"/>
    </row>
    <row r="9" spans="1:9" x14ac:dyDescent="0.25">
      <c r="A9" s="1"/>
      <c r="B9" s="124" t="s">
        <v>50</v>
      </c>
      <c r="C9" s="125"/>
      <c r="D9" s="125"/>
      <c r="E9" s="125"/>
      <c r="F9" s="125"/>
      <c r="G9" s="130"/>
      <c r="H9" s="126"/>
      <c r="I9" s="1"/>
    </row>
    <row r="10" spans="1:9" x14ac:dyDescent="0.25">
      <c r="A10" s="1"/>
      <c r="B10" s="127" t="s">
        <v>40</v>
      </c>
      <c r="C10" s="128"/>
      <c r="D10" s="128"/>
      <c r="E10" s="128"/>
      <c r="F10" s="129"/>
      <c r="G10" s="55">
        <f>(G5-G6)*(1+'Fane 14. Nøgletal'!C9)</f>
        <v>6860568.7186948285</v>
      </c>
      <c r="H10" s="14" t="s">
        <v>3</v>
      </c>
      <c r="I10" s="1"/>
    </row>
    <row r="11" spans="1:9" x14ac:dyDescent="0.25">
      <c r="A11" s="1"/>
      <c r="B11" s="131" t="s">
        <v>41</v>
      </c>
      <c r="C11" s="132"/>
      <c r="D11" s="132"/>
      <c r="E11" s="132"/>
      <c r="F11" s="133"/>
      <c r="G11" s="55">
        <v>0</v>
      </c>
      <c r="H11" s="14" t="s">
        <v>3</v>
      </c>
      <c r="I11" s="1"/>
    </row>
    <row r="12" spans="1:9" x14ac:dyDescent="0.25">
      <c r="A12" s="1"/>
      <c r="B12" s="127" t="s">
        <v>42</v>
      </c>
      <c r="C12" s="128"/>
      <c r="D12" s="128"/>
      <c r="E12" s="128"/>
      <c r="F12" s="129"/>
      <c r="G12" s="55">
        <f>(G10+G11)*'Fane 14. Nøgletal'!C31</f>
        <v>137211.37437389657</v>
      </c>
      <c r="H12" s="14" t="s">
        <v>3</v>
      </c>
      <c r="I12" s="1"/>
    </row>
    <row r="13" spans="1:9" x14ac:dyDescent="0.25">
      <c r="A13" s="1"/>
      <c r="B13" s="65"/>
      <c r="C13" s="66"/>
      <c r="D13" s="66"/>
      <c r="E13" s="66"/>
      <c r="F13" s="66"/>
      <c r="G13" s="56"/>
      <c r="H13" s="19"/>
      <c r="I13" s="1"/>
    </row>
    <row r="14" spans="1:9" x14ac:dyDescent="0.25">
      <c r="A14" s="1"/>
      <c r="B14" s="1"/>
      <c r="C14" s="1"/>
      <c r="D14" s="1"/>
      <c r="E14" s="1"/>
      <c r="F14" s="1"/>
      <c r="G14" s="57"/>
      <c r="H14" s="1"/>
      <c r="I14" s="1"/>
    </row>
    <row r="15" spans="1:9" x14ac:dyDescent="0.25">
      <c r="A15" s="1"/>
      <c r="B15" s="124" t="s">
        <v>51</v>
      </c>
      <c r="C15" s="125"/>
      <c r="D15" s="125"/>
      <c r="E15" s="125"/>
      <c r="F15" s="125"/>
      <c r="G15" s="130"/>
      <c r="H15" s="126"/>
      <c r="I15" s="1"/>
    </row>
    <row r="16" spans="1:9" x14ac:dyDescent="0.25">
      <c r="A16" s="1"/>
      <c r="B16" s="127" t="s">
        <v>43</v>
      </c>
      <c r="C16" s="128"/>
      <c r="D16" s="128"/>
      <c r="E16" s="128"/>
      <c r="F16" s="129"/>
      <c r="G16" s="55">
        <f>(G10+G11-G12)*(1+'Fane 14. Nøgletal'!C11)</f>
        <v>6836982.0834399546</v>
      </c>
      <c r="H16" s="14" t="s">
        <v>3</v>
      </c>
      <c r="I16" s="1"/>
    </row>
    <row r="17" spans="1:9" x14ac:dyDescent="0.25">
      <c r="A17" s="1"/>
      <c r="B17" s="127" t="s">
        <v>107</v>
      </c>
      <c r="C17" s="128"/>
      <c r="D17" s="128"/>
      <c r="E17" s="128"/>
      <c r="F17" s="129"/>
      <c r="G17" s="55">
        <v>-10432.390669574865</v>
      </c>
      <c r="H17" s="14" t="s">
        <v>3</v>
      </c>
      <c r="I17" s="1"/>
    </row>
    <row r="18" spans="1:9" x14ac:dyDescent="0.25">
      <c r="A18" s="1"/>
      <c r="B18" s="131" t="s">
        <v>44</v>
      </c>
      <c r="C18" s="132"/>
      <c r="D18" s="132"/>
      <c r="E18" s="132"/>
      <c r="F18" s="133"/>
      <c r="G18" s="55">
        <v>0</v>
      </c>
      <c r="H18" s="14" t="s">
        <v>3</v>
      </c>
      <c r="I18" s="1"/>
    </row>
    <row r="19" spans="1:9" x14ac:dyDescent="0.25">
      <c r="A19" s="1"/>
      <c r="B19" s="127" t="s">
        <v>45</v>
      </c>
      <c r="C19" s="128"/>
      <c r="D19" s="128"/>
      <c r="E19" s="128"/>
      <c r="F19" s="129"/>
      <c r="G19" s="55">
        <f>SUM(G16:G18)*'Fane 14. Nøgletal'!C31</f>
        <v>136530.99385540761</v>
      </c>
      <c r="H19" s="14" t="s">
        <v>3</v>
      </c>
      <c r="I19" s="1"/>
    </row>
    <row r="20" spans="1:9" x14ac:dyDescent="0.25">
      <c r="A20" s="1"/>
      <c r="B20" s="65"/>
      <c r="C20" s="66"/>
      <c r="D20" s="66"/>
      <c r="E20" s="66"/>
      <c r="F20" s="66"/>
      <c r="G20" s="56"/>
      <c r="H20" s="19"/>
      <c r="I20" s="1"/>
    </row>
    <row r="21" spans="1:9" x14ac:dyDescent="0.25">
      <c r="A21" s="1"/>
      <c r="B21" s="1"/>
      <c r="C21" s="1"/>
      <c r="D21" s="1"/>
      <c r="E21" s="1"/>
      <c r="F21" s="1"/>
      <c r="G21" s="57"/>
      <c r="H21" s="1"/>
      <c r="I21" s="1"/>
    </row>
    <row r="22" spans="1:9" x14ac:dyDescent="0.25">
      <c r="A22" s="1"/>
      <c r="B22" s="124" t="s">
        <v>52</v>
      </c>
      <c r="C22" s="125"/>
      <c r="D22" s="125"/>
      <c r="E22" s="125"/>
      <c r="F22" s="125"/>
      <c r="G22" s="130"/>
      <c r="H22" s="126"/>
      <c r="I22" s="1"/>
    </row>
    <row r="23" spans="1:9" x14ac:dyDescent="0.25">
      <c r="A23" s="1"/>
      <c r="B23" s="127" t="s">
        <v>46</v>
      </c>
      <c r="C23" s="128"/>
      <c r="D23" s="128"/>
      <c r="E23" s="128"/>
      <c r="F23" s="129"/>
      <c r="G23" s="55">
        <f>(SUM(G16:G18)-G19)*(1+'Fane 14. Nøgletal'!C11)</f>
        <v>6803080.0149266347</v>
      </c>
      <c r="H23" s="14" t="s">
        <v>3</v>
      </c>
      <c r="I23" s="1"/>
    </row>
    <row r="24" spans="1:9" x14ac:dyDescent="0.25">
      <c r="A24" s="1"/>
      <c r="B24" s="131" t="s">
        <v>47</v>
      </c>
      <c r="C24" s="132"/>
      <c r="D24" s="132"/>
      <c r="E24" s="132"/>
      <c r="F24" s="133"/>
      <c r="G24" s="55">
        <v>0</v>
      </c>
      <c r="H24" s="14" t="s">
        <v>3</v>
      </c>
      <c r="I24" s="1"/>
    </row>
    <row r="25" spans="1:9" x14ac:dyDescent="0.25">
      <c r="A25" s="1"/>
      <c r="B25" s="127" t="s">
        <v>48</v>
      </c>
      <c r="C25" s="128"/>
      <c r="D25" s="128"/>
      <c r="E25" s="128"/>
      <c r="F25" s="129"/>
      <c r="G25" s="55">
        <f>(G23+G24)*'Fane 14. Nøgletal'!C31</f>
        <v>136061.60029853269</v>
      </c>
      <c r="H25" s="14" t="s">
        <v>3</v>
      </c>
      <c r="I25" s="1"/>
    </row>
    <row r="26" spans="1:9" x14ac:dyDescent="0.25">
      <c r="A26" s="1"/>
      <c r="B26" s="65"/>
      <c r="C26" s="66"/>
      <c r="D26" s="66"/>
      <c r="E26" s="66"/>
      <c r="F26" s="66"/>
      <c r="G26" s="56"/>
      <c r="H26" s="19"/>
      <c r="I26" s="1"/>
    </row>
    <row r="27" spans="1:9" x14ac:dyDescent="0.25">
      <c r="A27" s="1"/>
      <c r="B27" s="1"/>
      <c r="C27" s="1"/>
      <c r="D27" s="1"/>
      <c r="E27" s="1"/>
      <c r="F27" s="1"/>
      <c r="G27" s="57"/>
      <c r="H27" s="1"/>
      <c r="I27" s="1"/>
    </row>
    <row r="28" spans="1:9" x14ac:dyDescent="0.25">
      <c r="A28" s="1"/>
      <c r="B28" s="124" t="s">
        <v>131</v>
      </c>
      <c r="C28" s="125"/>
      <c r="D28" s="125"/>
      <c r="E28" s="125"/>
      <c r="F28" s="125"/>
      <c r="G28" s="130"/>
      <c r="H28" s="126"/>
      <c r="I28" s="1"/>
    </row>
    <row r="29" spans="1:9" x14ac:dyDescent="0.25">
      <c r="A29" s="1"/>
      <c r="B29" s="127" t="s">
        <v>55</v>
      </c>
      <c r="C29" s="128"/>
      <c r="D29" s="128"/>
      <c r="E29" s="128"/>
      <c r="F29" s="129"/>
      <c r="G29" s="55">
        <f>(G23+G24-G25)*(1+'Fane 14. Nøgletal'!C13)</f>
        <v>6748356.039286565</v>
      </c>
      <c r="H29" s="14" t="s">
        <v>3</v>
      </c>
      <c r="I29" s="1"/>
    </row>
    <row r="30" spans="1:9" x14ac:dyDescent="0.25">
      <c r="A30" s="1"/>
      <c r="B30" s="127" t="s">
        <v>120</v>
      </c>
      <c r="C30" s="128"/>
      <c r="D30" s="128"/>
      <c r="E30" s="128"/>
      <c r="F30" s="129"/>
      <c r="G30" s="55">
        <v>66063.93375204</v>
      </c>
      <c r="H30" s="14" t="s">
        <v>3</v>
      </c>
      <c r="I30" s="1"/>
    </row>
    <row r="31" spans="1:9" x14ac:dyDescent="0.25">
      <c r="A31" s="1"/>
      <c r="B31" s="127" t="s">
        <v>125</v>
      </c>
      <c r="C31" s="128"/>
      <c r="D31" s="128"/>
      <c r="E31" s="128"/>
      <c r="F31" s="129"/>
      <c r="G31" s="55">
        <f>(G29+G30)*'Fane 14. Nøgletal'!C31</f>
        <v>136288.39946077211</v>
      </c>
      <c r="H31" s="14" t="s">
        <v>3</v>
      </c>
      <c r="I31" s="1"/>
    </row>
    <row r="32" spans="1:9" x14ac:dyDescent="0.25">
      <c r="A32" s="1"/>
      <c r="B32" s="65"/>
      <c r="C32" s="66"/>
      <c r="D32" s="66"/>
      <c r="E32" s="66"/>
      <c r="F32" s="66"/>
      <c r="G32" s="56"/>
      <c r="H32" s="19"/>
      <c r="I32" s="1"/>
    </row>
    <row r="33" spans="1:9" x14ac:dyDescent="0.25">
      <c r="A33" s="1"/>
      <c r="B33" s="1"/>
      <c r="C33" s="1"/>
      <c r="D33" s="1"/>
      <c r="E33" s="1"/>
      <c r="F33" s="1"/>
      <c r="G33" s="57"/>
      <c r="H33" s="1"/>
      <c r="I33" s="1"/>
    </row>
    <row r="34" spans="1:9" x14ac:dyDescent="0.25">
      <c r="A34" s="1"/>
      <c r="B34" s="124" t="s">
        <v>132</v>
      </c>
      <c r="C34" s="125"/>
      <c r="D34" s="125"/>
      <c r="E34" s="125"/>
      <c r="F34" s="125"/>
      <c r="G34" s="130"/>
      <c r="H34" s="126"/>
      <c r="I34" s="1"/>
    </row>
    <row r="35" spans="1:9" x14ac:dyDescent="0.25">
      <c r="A35" s="1"/>
      <c r="B35" s="127" t="s">
        <v>74</v>
      </c>
      <c r="C35" s="128"/>
      <c r="D35" s="128"/>
      <c r="E35" s="128"/>
      <c r="F35" s="129"/>
      <c r="G35" s="55">
        <f>(G29+G30-G31)*(1+'Fane 14. Nøgletal'!C13)</f>
        <v>6759604.7787754824</v>
      </c>
      <c r="H35" s="14" t="s">
        <v>3</v>
      </c>
      <c r="I35" s="1"/>
    </row>
    <row r="36" spans="1:9" x14ac:dyDescent="0.25">
      <c r="A36" s="1"/>
      <c r="B36" s="127" t="s">
        <v>151</v>
      </c>
      <c r="C36" s="128"/>
      <c r="D36" s="128"/>
      <c r="E36" s="128"/>
      <c r="F36" s="129"/>
      <c r="G36" s="55">
        <f>('Fane 3. Omkostninger i ØR2022'!E10+'Fane 3. Omkostninger i ØR2022'!E12+'Fane 3. Omkostninger i ØR2022'!E14)*(1+'Fane 14. Nøgletal'!C14)</f>
        <v>0</v>
      </c>
      <c r="H36" s="14" t="s">
        <v>3</v>
      </c>
      <c r="I36" s="1"/>
    </row>
    <row r="37" spans="1:9" x14ac:dyDescent="0.25">
      <c r="A37" s="1"/>
      <c r="B37" s="127" t="s">
        <v>133</v>
      </c>
      <c r="C37" s="128"/>
      <c r="D37" s="128"/>
      <c r="E37" s="128"/>
      <c r="F37" s="129"/>
      <c r="G37" s="55">
        <f>(G35+G36)*'Fane 14. Nøgletal'!C31</f>
        <v>135192.09557550965</v>
      </c>
      <c r="H37" s="14" t="s">
        <v>3</v>
      </c>
      <c r="I37" s="1"/>
    </row>
    <row r="38" spans="1:9" x14ac:dyDescent="0.25">
      <c r="A38" s="1"/>
      <c r="B38" s="65"/>
      <c r="C38" s="66"/>
      <c r="D38" s="66"/>
      <c r="E38" s="66"/>
      <c r="F38" s="66"/>
      <c r="G38" s="56"/>
      <c r="H38" s="19"/>
      <c r="I38" s="1"/>
    </row>
    <row r="39" spans="1:9" x14ac:dyDescent="0.25">
      <c r="A39" s="1"/>
      <c r="B39" s="1"/>
      <c r="C39" s="1"/>
      <c r="D39" s="1"/>
      <c r="E39" s="1"/>
      <c r="F39" s="1"/>
      <c r="G39" s="57"/>
      <c r="H39" s="1"/>
      <c r="I39" s="1"/>
    </row>
    <row r="40" spans="1:9" x14ac:dyDescent="0.25">
      <c r="A40" s="1"/>
      <c r="B40" s="124" t="s">
        <v>197</v>
      </c>
      <c r="C40" s="125"/>
      <c r="D40" s="125"/>
      <c r="E40" s="125"/>
      <c r="F40" s="125"/>
      <c r="G40" s="130"/>
      <c r="H40" s="126"/>
      <c r="I40" s="1"/>
    </row>
    <row r="41" spans="1:9" x14ac:dyDescent="0.25">
      <c r="A41" s="1"/>
      <c r="B41" s="127" t="s">
        <v>73</v>
      </c>
      <c r="C41" s="128"/>
      <c r="D41" s="128"/>
      <c r="E41" s="128"/>
      <c r="F41" s="129"/>
      <c r="G41" s="55">
        <f>(G35+G36-G37)*(1+'Fane 14. Nøgletal'!C15)</f>
        <v>6860241.7747218926</v>
      </c>
      <c r="H41" s="14" t="s">
        <v>3</v>
      </c>
      <c r="I41" s="1"/>
    </row>
    <row r="42" spans="1:9" x14ac:dyDescent="0.25">
      <c r="A42" s="1"/>
      <c r="B42" s="127" t="s">
        <v>196</v>
      </c>
      <c r="C42" s="128"/>
      <c r="D42" s="128"/>
      <c r="E42" s="128"/>
      <c r="F42" s="129"/>
      <c r="G42" s="55">
        <f>('Fane 2.1. Økonomisk ramme 2023'!C9+'Fane 2.1. Økonomisk ramme 2023'!C11+'Fane 2.1. Økonomisk ramme 2023'!C13)*(1+'Fane 14. Nøgletal'!C15)</f>
        <v>0</v>
      </c>
      <c r="H42" s="14" t="s">
        <v>3</v>
      </c>
      <c r="I42" s="1"/>
    </row>
    <row r="43" spans="1:9" x14ac:dyDescent="0.25">
      <c r="A43" s="1"/>
      <c r="B43" s="127" t="s">
        <v>207</v>
      </c>
      <c r="C43" s="128"/>
      <c r="D43" s="128"/>
      <c r="E43" s="128"/>
      <c r="F43" s="129"/>
      <c r="G43" s="55">
        <f>(G41+G42)*'Fane 14. Nøgletal'!C31</f>
        <v>137204.83549443787</v>
      </c>
      <c r="H43" s="14" t="s">
        <v>3</v>
      </c>
      <c r="I43" s="1"/>
    </row>
    <row r="44" spans="1:9" x14ac:dyDescent="0.25">
      <c r="A44" s="1"/>
      <c r="B44" s="65"/>
      <c r="C44" s="66"/>
      <c r="D44" s="66"/>
      <c r="E44" s="66"/>
      <c r="F44" s="66"/>
      <c r="G44" s="56"/>
      <c r="H44" s="19"/>
      <c r="I44" s="1"/>
    </row>
    <row r="45" spans="1:9" x14ac:dyDescent="0.25">
      <c r="A45" s="1"/>
      <c r="B45" s="1"/>
      <c r="C45" s="1"/>
      <c r="D45" s="1"/>
      <c r="E45" s="1"/>
      <c r="F45" s="1"/>
      <c r="G45" s="57"/>
      <c r="H45" s="1"/>
      <c r="I45" s="1"/>
    </row>
    <row r="46" spans="1:9" x14ac:dyDescent="0.25">
      <c r="A46" s="1"/>
      <c r="B46" s="124" t="s">
        <v>198</v>
      </c>
      <c r="C46" s="125"/>
      <c r="D46" s="125"/>
      <c r="E46" s="125"/>
      <c r="F46" s="125"/>
      <c r="G46" s="130"/>
      <c r="H46" s="126"/>
      <c r="I46" s="1"/>
    </row>
    <row r="47" spans="1:9" x14ac:dyDescent="0.25">
      <c r="A47" s="1"/>
      <c r="B47" s="127" t="s">
        <v>121</v>
      </c>
      <c r="C47" s="128"/>
      <c r="D47" s="128"/>
      <c r="E47" s="128"/>
      <c r="F47" s="129"/>
      <c r="G47" s="55">
        <f>(G41+G42-G43)*(1+'Fane 14. Nøgletal'!C15)</f>
        <v>6962377.0542639522</v>
      </c>
      <c r="H47" s="14" t="s">
        <v>3</v>
      </c>
      <c r="I47" s="1"/>
    </row>
    <row r="48" spans="1:9" x14ac:dyDescent="0.25">
      <c r="A48" s="1"/>
      <c r="B48" s="127" t="s">
        <v>208</v>
      </c>
      <c r="C48" s="128"/>
      <c r="D48" s="128"/>
      <c r="E48" s="128"/>
      <c r="F48" s="129"/>
      <c r="G48" s="55">
        <f>(G47)*'Fane 14. Nøgletal'!C31</f>
        <v>139247.54108527905</v>
      </c>
      <c r="H48" s="14" t="s">
        <v>3</v>
      </c>
      <c r="I48" s="1"/>
    </row>
    <row r="49" spans="1:9" x14ac:dyDescent="0.25">
      <c r="A49" s="1"/>
      <c r="B49" s="65"/>
      <c r="C49" s="66"/>
      <c r="D49" s="66"/>
      <c r="E49" s="66"/>
      <c r="F49" s="66"/>
      <c r="G49" s="56"/>
      <c r="H49" s="19"/>
      <c r="I49" s="1"/>
    </row>
    <row r="50" spans="1:9" x14ac:dyDescent="0.25">
      <c r="A50" s="1"/>
      <c r="B50" s="1"/>
      <c r="C50" s="1"/>
      <c r="D50" s="1"/>
      <c r="E50" s="1"/>
      <c r="F50" s="1"/>
      <c r="G50" s="57"/>
      <c r="H50" s="1"/>
      <c r="I50" s="1"/>
    </row>
    <row r="51" spans="1:9" x14ac:dyDescent="0.25">
      <c r="A51" s="1"/>
      <c r="B51" s="124" t="s">
        <v>144</v>
      </c>
      <c r="C51" s="125"/>
      <c r="D51" s="125"/>
      <c r="E51" s="125"/>
      <c r="F51" s="125"/>
      <c r="G51" s="130"/>
      <c r="H51" s="126"/>
      <c r="I51" s="1"/>
    </row>
    <row r="52" spans="1:9" x14ac:dyDescent="0.25">
      <c r="A52" s="1"/>
      <c r="B52" s="127" t="s">
        <v>145</v>
      </c>
      <c r="C52" s="128"/>
      <c r="D52" s="128"/>
      <c r="E52" s="128"/>
      <c r="F52" s="129"/>
      <c r="G52" s="55">
        <f>(G47-G48)*(1+'Fane 14. Nøgletal'!C15)</f>
        <v>7066032.9238478346</v>
      </c>
      <c r="H52" s="14" t="s">
        <v>3</v>
      </c>
      <c r="I52" s="1"/>
    </row>
    <row r="53" spans="1:9" x14ac:dyDescent="0.25">
      <c r="A53" s="1"/>
      <c r="B53" s="127" t="s">
        <v>146</v>
      </c>
      <c r="C53" s="128"/>
      <c r="D53" s="128"/>
      <c r="E53" s="128"/>
      <c r="F53" s="129"/>
      <c r="G53" s="55">
        <f>(G52)*'Fane 14. Nøgletal'!C31</f>
        <v>141320.65847695668</v>
      </c>
      <c r="H53" s="14" t="s">
        <v>3</v>
      </c>
      <c r="I53" s="1"/>
    </row>
    <row r="54" spans="1:9" x14ac:dyDescent="0.25">
      <c r="A54" s="1"/>
      <c r="B54" s="65"/>
      <c r="C54" s="66"/>
      <c r="D54" s="66"/>
      <c r="E54" s="66"/>
      <c r="F54" s="66"/>
      <c r="G54" s="56"/>
      <c r="H54" s="19"/>
      <c r="I54" s="1"/>
    </row>
    <row r="55" spans="1:9" x14ac:dyDescent="0.25">
      <c r="A55" s="1"/>
      <c r="B55" s="1"/>
      <c r="C55" s="1"/>
      <c r="D55" s="1"/>
      <c r="E55" s="1"/>
      <c r="F55" s="1"/>
      <c r="G55" s="57"/>
      <c r="H55" s="1"/>
      <c r="I55" s="1"/>
    </row>
    <row r="56" spans="1:9" x14ac:dyDescent="0.25">
      <c r="A56" s="1"/>
      <c r="B56" s="124" t="s">
        <v>173</v>
      </c>
      <c r="C56" s="125"/>
      <c r="D56" s="125"/>
      <c r="E56" s="125"/>
      <c r="F56" s="125"/>
      <c r="G56" s="130"/>
      <c r="H56" s="126"/>
      <c r="I56" s="1"/>
    </row>
    <row r="57" spans="1:9" x14ac:dyDescent="0.25">
      <c r="A57" s="1"/>
      <c r="B57" s="127" t="s">
        <v>174</v>
      </c>
      <c r="C57" s="128"/>
      <c r="D57" s="128"/>
      <c r="E57" s="128"/>
      <c r="F57" s="129"/>
      <c r="G57" s="55">
        <f>(G52-G53)*(1+'Fane 14. Nøgletal'!C15)</f>
        <v>7171232.0220180815</v>
      </c>
      <c r="H57" s="14" t="s">
        <v>3</v>
      </c>
      <c r="I57" s="1"/>
    </row>
    <row r="58" spans="1:9" x14ac:dyDescent="0.25">
      <c r="A58" s="1"/>
      <c r="B58" s="127" t="s">
        <v>175</v>
      </c>
      <c r="C58" s="128"/>
      <c r="D58" s="128"/>
      <c r="E58" s="128"/>
      <c r="F58" s="129"/>
      <c r="G58" s="55">
        <f>(G57)*'Fane 14. Nøgletal'!C31</f>
        <v>143424.64044036163</v>
      </c>
      <c r="H58" s="14" t="s">
        <v>3</v>
      </c>
      <c r="I58" s="1"/>
    </row>
    <row r="59" spans="1:9" x14ac:dyDescent="0.25">
      <c r="A59" s="1"/>
      <c r="B59" s="65"/>
      <c r="C59" s="66"/>
      <c r="D59" s="66"/>
      <c r="E59" s="66"/>
      <c r="F59" s="66"/>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0lPAOkqBrnakBxmrME4pND7eVjKkkMJxKZ9WL0AUNYK4HrHabFI6YlWCnt597iQJ6SxxlUVE9AE4ZqOKbcFqyg==" saltValue="vDfVwBQVZE9AkIP+gSPJ9g=="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2.85546875" style="2" bestFit="1" customWidth="1"/>
    <col min="9" max="9" width="6" style="2" customWidth="1"/>
    <col min="10" max="16384" width="9" style="2"/>
  </cols>
  <sheetData>
    <row r="1" spans="1:9" x14ac:dyDescent="0.25">
      <c r="A1" s="1"/>
      <c r="B1" s="134" t="s">
        <v>98</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4" t="s">
        <v>53</v>
      </c>
      <c r="C4" s="125"/>
      <c r="D4" s="125"/>
      <c r="E4" s="125"/>
      <c r="F4" s="125"/>
      <c r="G4" s="125"/>
      <c r="H4" s="126"/>
      <c r="I4" s="1"/>
    </row>
    <row r="5" spans="1:9" x14ac:dyDescent="0.25">
      <c r="A5" s="1"/>
      <c r="B5" s="127" t="s">
        <v>56</v>
      </c>
      <c r="C5" s="128"/>
      <c r="D5" s="128"/>
      <c r="E5" s="128"/>
      <c r="F5" s="129"/>
      <c r="G5" s="55">
        <v>4390570.5588816199</v>
      </c>
      <c r="H5" s="14" t="s">
        <v>3</v>
      </c>
      <c r="I5" s="1"/>
    </row>
    <row r="6" spans="1:9" x14ac:dyDescent="0.25">
      <c r="A6" s="1"/>
      <c r="B6" s="127" t="s">
        <v>54</v>
      </c>
      <c r="C6" s="128"/>
      <c r="D6" s="128"/>
      <c r="E6" s="128"/>
      <c r="F6" s="129"/>
      <c r="G6" s="55">
        <f>G5*'Fane 14. Nøgletal'!C20</f>
        <v>39954.192085822746</v>
      </c>
      <c r="H6" s="14" t="s">
        <v>3</v>
      </c>
      <c r="I6" s="1"/>
    </row>
    <row r="7" spans="1:9" x14ac:dyDescent="0.25">
      <c r="A7" s="1"/>
      <c r="B7" s="65"/>
      <c r="C7" s="66"/>
      <c r="D7" s="66"/>
      <c r="E7" s="66"/>
      <c r="F7" s="66"/>
      <c r="G7" s="58"/>
      <c r="H7" s="19"/>
      <c r="I7" s="1"/>
    </row>
    <row r="8" spans="1:9" x14ac:dyDescent="0.25">
      <c r="A8" s="1"/>
      <c r="B8" s="1"/>
      <c r="C8" s="1"/>
      <c r="D8" s="1"/>
      <c r="E8" s="1"/>
      <c r="F8" s="1"/>
      <c r="G8" s="59"/>
      <c r="H8" s="1"/>
      <c r="I8" s="1"/>
    </row>
    <row r="9" spans="1:9" x14ac:dyDescent="0.25">
      <c r="A9" s="1"/>
      <c r="B9" s="124" t="s">
        <v>57</v>
      </c>
      <c r="C9" s="125"/>
      <c r="D9" s="125"/>
      <c r="E9" s="125"/>
      <c r="F9" s="125"/>
      <c r="G9" s="130"/>
      <c r="H9" s="126"/>
      <c r="I9" s="1"/>
    </row>
    <row r="10" spans="1:9" x14ac:dyDescent="0.25">
      <c r="A10" s="1"/>
      <c r="B10" s="127" t="s">
        <v>58</v>
      </c>
      <c r="C10" s="128"/>
      <c r="D10" s="128"/>
      <c r="E10" s="128"/>
      <c r="F10" s="129"/>
      <c r="G10" s="55">
        <f>(G5-G6)*(1+'Fane 14. Nøgletal'!C9)</f>
        <v>4405869.1946541034</v>
      </c>
      <c r="H10" s="14" t="s">
        <v>3</v>
      </c>
      <c r="I10" s="1"/>
    </row>
    <row r="11" spans="1:9" x14ac:dyDescent="0.25">
      <c r="A11" s="1"/>
      <c r="B11" s="131" t="s">
        <v>59</v>
      </c>
      <c r="C11" s="132"/>
      <c r="D11" s="132"/>
      <c r="E11" s="132"/>
      <c r="F11" s="133"/>
      <c r="G11" s="60">
        <v>0</v>
      </c>
      <c r="H11" s="14" t="s">
        <v>3</v>
      </c>
      <c r="I11" s="1"/>
    </row>
    <row r="12" spans="1:9" x14ac:dyDescent="0.25">
      <c r="A12" s="1"/>
      <c r="B12" s="127" t="s">
        <v>60</v>
      </c>
      <c r="C12" s="128"/>
      <c r="D12" s="128"/>
      <c r="E12" s="128"/>
      <c r="F12" s="129"/>
      <c r="G12" s="55">
        <f>G10*'Fane 14. Nøgletal'!C20+G11*'Fane 14. Nøgletal'!C21</f>
        <v>40093.40967135234</v>
      </c>
      <c r="H12" s="14" t="s">
        <v>3</v>
      </c>
      <c r="I12" s="1"/>
    </row>
    <row r="13" spans="1:9" x14ac:dyDescent="0.25">
      <c r="A13" s="1"/>
      <c r="B13" s="65"/>
      <c r="C13" s="66"/>
      <c r="D13" s="66"/>
      <c r="E13" s="66"/>
      <c r="F13" s="66"/>
      <c r="G13" s="58"/>
      <c r="H13" s="19"/>
      <c r="I13" s="1"/>
    </row>
    <row r="14" spans="1:9" x14ac:dyDescent="0.25">
      <c r="A14" s="1"/>
      <c r="B14" s="1"/>
      <c r="C14" s="1"/>
      <c r="D14" s="1"/>
      <c r="E14" s="1"/>
      <c r="F14" s="1"/>
      <c r="G14" s="59"/>
      <c r="H14" s="1"/>
      <c r="I14" s="1"/>
    </row>
    <row r="15" spans="1:9" x14ac:dyDescent="0.25">
      <c r="A15" s="1"/>
      <c r="B15" s="124" t="s">
        <v>61</v>
      </c>
      <c r="C15" s="125"/>
      <c r="D15" s="125"/>
      <c r="E15" s="125"/>
      <c r="F15" s="125"/>
      <c r="G15" s="130"/>
      <c r="H15" s="126"/>
      <c r="I15" s="1"/>
    </row>
    <row r="16" spans="1:9" x14ac:dyDescent="0.25">
      <c r="A16" s="1"/>
      <c r="B16" s="127" t="s">
        <v>62</v>
      </c>
      <c r="C16" s="128"/>
      <c r="D16" s="128"/>
      <c r="E16" s="128"/>
      <c r="F16" s="129"/>
      <c r="G16" s="55">
        <f>(G10+G11-G12)*(1+'Fane 14. Nøgletal'!C11)</f>
        <v>4439557.3957489589</v>
      </c>
      <c r="H16" s="14" t="s">
        <v>3</v>
      </c>
      <c r="I16" s="1"/>
    </row>
    <row r="17" spans="1:9" x14ac:dyDescent="0.25">
      <c r="A17" s="1"/>
      <c r="B17" s="127" t="s">
        <v>108</v>
      </c>
      <c r="C17" s="128"/>
      <c r="D17" s="128"/>
      <c r="E17" s="128"/>
      <c r="F17" s="129"/>
      <c r="G17" s="55">
        <v>-160617.03172930793</v>
      </c>
      <c r="H17" s="14" t="s">
        <v>3</v>
      </c>
      <c r="I17" s="1"/>
    </row>
    <row r="18" spans="1:9" x14ac:dyDescent="0.25">
      <c r="A18" s="1"/>
      <c r="B18" s="131" t="s">
        <v>63</v>
      </c>
      <c r="C18" s="132"/>
      <c r="D18" s="132"/>
      <c r="E18" s="132"/>
      <c r="F18" s="133"/>
      <c r="G18" s="55">
        <v>69067.61197750998</v>
      </c>
      <c r="H18" s="14" t="s">
        <v>3</v>
      </c>
      <c r="I18" s="1"/>
    </row>
    <row r="19" spans="1:9" x14ac:dyDescent="0.25">
      <c r="A19" s="1"/>
      <c r="B19" s="127" t="s">
        <v>64</v>
      </c>
      <c r="C19" s="128"/>
      <c r="D19" s="128"/>
      <c r="E19" s="128"/>
      <c r="F19" s="129"/>
      <c r="G19" s="55">
        <f>(G16+G17+G18)*'Fane 14. Nøgletal'!C22</f>
        <v>37827.669391175303</v>
      </c>
      <c r="H19" s="14" t="s">
        <v>3</v>
      </c>
      <c r="I19" s="1"/>
    </row>
    <row r="20" spans="1:9" x14ac:dyDescent="0.25">
      <c r="A20" s="1"/>
      <c r="B20" s="65"/>
      <c r="C20" s="66"/>
      <c r="D20" s="66"/>
      <c r="E20" s="66"/>
      <c r="F20" s="66"/>
      <c r="G20" s="58"/>
      <c r="H20" s="19"/>
      <c r="I20" s="1"/>
    </row>
    <row r="21" spans="1:9" x14ac:dyDescent="0.25">
      <c r="A21" s="1"/>
      <c r="B21" s="1"/>
      <c r="C21" s="1"/>
      <c r="D21" s="1"/>
      <c r="E21" s="1"/>
      <c r="F21" s="1"/>
      <c r="G21" s="59"/>
      <c r="H21" s="1"/>
      <c r="I21" s="1"/>
    </row>
    <row r="22" spans="1:9" x14ac:dyDescent="0.25">
      <c r="A22" s="1"/>
      <c r="B22" s="124" t="s">
        <v>65</v>
      </c>
      <c r="C22" s="125"/>
      <c r="D22" s="125"/>
      <c r="E22" s="125"/>
      <c r="F22" s="125"/>
      <c r="G22" s="130"/>
      <c r="H22" s="126"/>
      <c r="I22" s="1"/>
    </row>
    <row r="23" spans="1:9" x14ac:dyDescent="0.25">
      <c r="A23" s="1"/>
      <c r="B23" s="127" t="s">
        <v>66</v>
      </c>
      <c r="C23" s="128"/>
      <c r="D23" s="128"/>
      <c r="E23" s="128"/>
      <c r="F23" s="129"/>
      <c r="G23" s="55">
        <f>(SUM(G16:G18)-G19)*(1+'Fane 14. Nøgletal'!C11)</f>
        <v>4383022.3537876261</v>
      </c>
      <c r="H23" s="14" t="s">
        <v>3</v>
      </c>
      <c r="I23" s="1"/>
    </row>
    <row r="24" spans="1:9" x14ac:dyDescent="0.25">
      <c r="A24" s="1"/>
      <c r="B24" s="131" t="s">
        <v>67</v>
      </c>
      <c r="C24" s="132"/>
      <c r="D24" s="132"/>
      <c r="E24" s="132"/>
      <c r="F24" s="133"/>
      <c r="G24" s="55">
        <v>436047.40504096204</v>
      </c>
      <c r="H24" s="14" t="s">
        <v>3</v>
      </c>
      <c r="I24" s="1"/>
    </row>
    <row r="25" spans="1:9" x14ac:dyDescent="0.25">
      <c r="A25" s="1"/>
      <c r="B25" s="127" t="s">
        <v>68</v>
      </c>
      <c r="C25" s="128"/>
      <c r="D25" s="128"/>
      <c r="E25" s="128"/>
      <c r="F25" s="129"/>
      <c r="G25" s="55">
        <f>G23*'Fane 14. Nøgletal'!C22+G24*'Fane 14. Nøgletal'!C23</f>
        <v>50516.040781115669</v>
      </c>
      <c r="H25" s="14" t="s">
        <v>3</v>
      </c>
      <c r="I25" s="1"/>
    </row>
    <row r="26" spans="1:9" x14ac:dyDescent="0.25">
      <c r="A26" s="1"/>
      <c r="B26" s="65"/>
      <c r="C26" s="66"/>
      <c r="D26" s="66"/>
      <c r="E26" s="66"/>
      <c r="F26" s="66"/>
      <c r="G26" s="58"/>
      <c r="H26" s="19"/>
      <c r="I26" s="1"/>
    </row>
    <row r="27" spans="1:9" x14ac:dyDescent="0.25">
      <c r="A27" s="1"/>
      <c r="B27" s="1"/>
      <c r="C27" s="1"/>
      <c r="D27" s="1"/>
      <c r="E27" s="1"/>
      <c r="F27" s="1"/>
      <c r="G27" s="59"/>
      <c r="H27" s="1"/>
      <c r="I27" s="1"/>
    </row>
    <row r="28" spans="1:9" x14ac:dyDescent="0.25">
      <c r="A28" s="1"/>
      <c r="B28" s="124" t="s">
        <v>129</v>
      </c>
      <c r="C28" s="125"/>
      <c r="D28" s="125"/>
      <c r="E28" s="125"/>
      <c r="F28" s="125"/>
      <c r="G28" s="130"/>
      <c r="H28" s="126"/>
      <c r="I28" s="1"/>
    </row>
    <row r="29" spans="1:9" x14ac:dyDescent="0.25">
      <c r="A29" s="1"/>
      <c r="B29" s="127" t="s">
        <v>69</v>
      </c>
      <c r="C29" s="128"/>
      <c r="D29" s="128"/>
      <c r="E29" s="128"/>
      <c r="F29" s="129"/>
      <c r="G29" s="55">
        <f>(G23+G24-G25)*(1+'Fane 14. Nøgletal'!C13)</f>
        <v>4826730.0734076509</v>
      </c>
      <c r="H29" s="14" t="s">
        <v>3</v>
      </c>
      <c r="I29" s="1"/>
    </row>
    <row r="30" spans="1:9" x14ac:dyDescent="0.25">
      <c r="A30" s="1"/>
      <c r="B30" s="127" t="s">
        <v>122</v>
      </c>
      <c r="C30" s="128"/>
      <c r="D30" s="128"/>
      <c r="E30" s="128"/>
      <c r="F30" s="129"/>
      <c r="G30" s="55">
        <v>195785.13603095998</v>
      </c>
      <c r="H30" s="14" t="s">
        <v>3</v>
      </c>
      <c r="I30" s="1"/>
    </row>
    <row r="31" spans="1:9" x14ac:dyDescent="0.25">
      <c r="A31" s="1"/>
      <c r="B31" s="127" t="s">
        <v>130</v>
      </c>
      <c r="C31" s="128"/>
      <c r="D31" s="128"/>
      <c r="E31" s="128"/>
      <c r="F31" s="129"/>
      <c r="G31" s="55">
        <f>(G29+G30)*'Fane 14. Nøgletal'!C24</f>
        <v>138119.16825956179</v>
      </c>
      <c r="H31" s="14" t="s">
        <v>3</v>
      </c>
      <c r="I31" s="1"/>
    </row>
    <row r="32" spans="1:9" x14ac:dyDescent="0.25">
      <c r="A32" s="1"/>
      <c r="B32" s="65"/>
      <c r="C32" s="66"/>
      <c r="D32" s="66"/>
      <c r="E32" s="66"/>
      <c r="F32" s="66"/>
      <c r="G32" s="58"/>
      <c r="H32" s="19"/>
      <c r="I32" s="1"/>
    </row>
    <row r="33" spans="1:9" x14ac:dyDescent="0.25">
      <c r="A33" s="1"/>
      <c r="B33" s="1"/>
      <c r="C33" s="1"/>
      <c r="D33" s="1"/>
      <c r="E33" s="1"/>
      <c r="F33" s="1"/>
      <c r="G33" s="59"/>
      <c r="H33" s="1"/>
      <c r="I33" s="1"/>
    </row>
    <row r="34" spans="1:9" x14ac:dyDescent="0.25">
      <c r="A34" s="1"/>
      <c r="B34" s="124" t="s">
        <v>134</v>
      </c>
      <c r="C34" s="125"/>
      <c r="D34" s="125"/>
      <c r="E34" s="125"/>
      <c r="F34" s="125"/>
      <c r="G34" s="130"/>
      <c r="H34" s="126"/>
      <c r="I34" s="1"/>
    </row>
    <row r="35" spans="1:9" x14ac:dyDescent="0.25">
      <c r="A35" s="1"/>
      <c r="B35" s="127" t="s">
        <v>72</v>
      </c>
      <c r="C35" s="128"/>
      <c r="D35" s="128"/>
      <c r="E35" s="128"/>
      <c r="F35" s="129"/>
      <c r="G35" s="55">
        <f>(G29+G30-G31)*(1+'Fane 14. Nøgletal'!C13)</f>
        <v>4943985.6728814328</v>
      </c>
      <c r="H35" s="14" t="s">
        <v>3</v>
      </c>
      <c r="I35" s="1"/>
    </row>
    <row r="36" spans="1:9" x14ac:dyDescent="0.25">
      <c r="A36" s="1"/>
      <c r="B36" s="127" t="s">
        <v>140</v>
      </c>
      <c r="C36" s="128"/>
      <c r="D36" s="128"/>
      <c r="E36" s="128"/>
      <c r="F36" s="129"/>
      <c r="G36" s="55">
        <f>SUM('Fane 3. Omkostninger i ØR2022'!E11)*(1+'Fane 14. Nøgletal'!C14)</f>
        <v>359748.63953354</v>
      </c>
      <c r="H36" s="14" t="s">
        <v>3</v>
      </c>
      <c r="I36" s="1"/>
    </row>
    <row r="37" spans="1:9" x14ac:dyDescent="0.25">
      <c r="A37" s="1"/>
      <c r="B37" s="127" t="s">
        <v>135</v>
      </c>
      <c r="C37" s="128"/>
      <c r="D37" s="128"/>
      <c r="E37" s="128"/>
      <c r="F37" s="129"/>
      <c r="G37" s="55">
        <f>G35*'Fane 14. Nøgletal'!C24+G36*'Fane 14. Nøgletal'!C25</f>
        <v>141283.88586933579</v>
      </c>
      <c r="H37" s="14" t="s">
        <v>3</v>
      </c>
      <c r="I37" s="1"/>
    </row>
    <row r="38" spans="1:9" x14ac:dyDescent="0.25">
      <c r="A38" s="1"/>
      <c r="B38" s="65"/>
      <c r="C38" s="66"/>
      <c r="D38" s="66"/>
      <c r="E38" s="66"/>
      <c r="F38" s="66"/>
      <c r="G38" s="58"/>
      <c r="H38" s="19"/>
      <c r="I38" s="1"/>
    </row>
    <row r="39" spans="1:9" x14ac:dyDescent="0.25">
      <c r="A39" s="1"/>
      <c r="B39" s="1"/>
      <c r="C39" s="1"/>
      <c r="D39" s="1"/>
      <c r="E39" s="1"/>
      <c r="F39" s="1"/>
      <c r="G39" s="59"/>
      <c r="H39" s="1"/>
      <c r="I39" s="1"/>
    </row>
    <row r="40" spans="1:9" x14ac:dyDescent="0.25">
      <c r="A40" s="1"/>
      <c r="B40" s="124" t="s">
        <v>199</v>
      </c>
      <c r="C40" s="125"/>
      <c r="D40" s="125"/>
      <c r="E40" s="125"/>
      <c r="F40" s="125"/>
      <c r="G40" s="130"/>
      <c r="H40" s="126"/>
      <c r="I40" s="1"/>
    </row>
    <row r="41" spans="1:9" x14ac:dyDescent="0.25">
      <c r="A41" s="1"/>
      <c r="B41" s="127" t="s">
        <v>71</v>
      </c>
      <c r="C41" s="128"/>
      <c r="D41" s="128"/>
      <c r="E41" s="128"/>
      <c r="F41" s="129"/>
      <c r="G41" s="55">
        <f>(G35+G36-G37)*(1+'Fane 14. Nøgletal'!C15)</f>
        <v>5346233.6617306629</v>
      </c>
      <c r="H41" s="14" t="s">
        <v>3</v>
      </c>
      <c r="I41" s="1"/>
    </row>
    <row r="42" spans="1:9" x14ac:dyDescent="0.25">
      <c r="A42" s="1"/>
      <c r="B42" s="127" t="s">
        <v>210</v>
      </c>
      <c r="C42" s="128"/>
      <c r="D42" s="128"/>
      <c r="E42" s="128"/>
      <c r="F42" s="129"/>
      <c r="G42" s="60">
        <f>SUM('Fane 2.1. Økonomisk ramme 2023'!C10+'Fane 2.1. Økonomisk ramme 2023'!C12+'Fane 2.1. Økonomisk ramme 2023'!C14)*(1+'Fane 14. Nøgletal'!C15)</f>
        <v>0</v>
      </c>
      <c r="H42" s="14" t="s">
        <v>3</v>
      </c>
      <c r="I42" s="1"/>
    </row>
    <row r="43" spans="1:9" x14ac:dyDescent="0.25">
      <c r="A43" s="1"/>
      <c r="B43" s="127" t="s">
        <v>70</v>
      </c>
      <c r="C43" s="128"/>
      <c r="D43" s="128"/>
      <c r="E43" s="128"/>
      <c r="F43" s="129"/>
      <c r="G43" s="55">
        <f>(G41+G42)*'Fane 14. Nøgletal'!C26</f>
        <v>0</v>
      </c>
      <c r="H43" s="14" t="s">
        <v>3</v>
      </c>
      <c r="I43" s="1"/>
    </row>
    <row r="44" spans="1:9" x14ac:dyDescent="0.25">
      <c r="A44" s="1"/>
      <c r="B44" s="65"/>
      <c r="C44" s="66"/>
      <c r="D44" s="66"/>
      <c r="E44" s="66"/>
      <c r="F44" s="66"/>
      <c r="G44" s="58"/>
      <c r="H44" s="19"/>
      <c r="I44" s="1"/>
    </row>
    <row r="45" spans="1:9" ht="12" customHeight="1" x14ac:dyDescent="0.25">
      <c r="A45" s="1"/>
      <c r="B45" s="1"/>
      <c r="C45" s="1"/>
      <c r="D45" s="1"/>
      <c r="E45" s="1"/>
      <c r="F45" s="1"/>
      <c r="G45" s="59"/>
      <c r="H45" s="1"/>
      <c r="I45" s="1"/>
    </row>
    <row r="46" spans="1:9" x14ac:dyDescent="0.25">
      <c r="A46" s="1"/>
      <c r="B46" s="124" t="s">
        <v>200</v>
      </c>
      <c r="C46" s="125"/>
      <c r="D46" s="125"/>
      <c r="E46" s="125"/>
      <c r="F46" s="125"/>
      <c r="G46" s="130"/>
      <c r="H46" s="126"/>
      <c r="I46" s="1"/>
    </row>
    <row r="47" spans="1:9" x14ac:dyDescent="0.25">
      <c r="A47" s="1"/>
      <c r="B47" s="127" t="s">
        <v>123</v>
      </c>
      <c r="C47" s="128"/>
      <c r="D47" s="128"/>
      <c r="E47" s="128"/>
      <c r="F47" s="129"/>
      <c r="G47" s="55">
        <f>(G41+G42-G43)*(1+'Fane 14. Nøgletal'!C15)</f>
        <v>5536559.5800882746</v>
      </c>
      <c r="H47" s="14" t="s">
        <v>3</v>
      </c>
      <c r="I47" s="1"/>
    </row>
    <row r="48" spans="1:9" x14ac:dyDescent="0.25">
      <c r="A48" s="1"/>
      <c r="B48" s="127" t="s">
        <v>124</v>
      </c>
      <c r="C48" s="128"/>
      <c r="D48" s="128"/>
      <c r="E48" s="128"/>
      <c r="F48" s="129"/>
      <c r="G48" s="55">
        <f>(G47)*'Fane 14. Nøgletal'!C26</f>
        <v>0</v>
      </c>
      <c r="H48" s="14" t="s">
        <v>3</v>
      </c>
      <c r="I48" s="1"/>
    </row>
    <row r="49" spans="1:9" x14ac:dyDescent="0.25">
      <c r="A49" s="1"/>
      <c r="B49" s="65"/>
      <c r="C49" s="66"/>
      <c r="D49" s="66"/>
      <c r="E49" s="66"/>
      <c r="F49" s="66"/>
      <c r="G49" s="58"/>
      <c r="H49" s="19"/>
      <c r="I49" s="1"/>
    </row>
    <row r="50" spans="1:9" x14ac:dyDescent="0.25">
      <c r="A50" s="1"/>
      <c r="B50" s="1"/>
      <c r="C50" s="1"/>
      <c r="D50" s="1"/>
      <c r="E50" s="1"/>
      <c r="F50" s="1"/>
      <c r="G50" s="59"/>
      <c r="H50" s="1"/>
      <c r="I50" s="1"/>
    </row>
    <row r="51" spans="1:9" x14ac:dyDescent="0.25">
      <c r="A51" s="1"/>
      <c r="B51" s="124" t="s">
        <v>141</v>
      </c>
      <c r="C51" s="125"/>
      <c r="D51" s="125"/>
      <c r="E51" s="125"/>
      <c r="F51" s="125"/>
      <c r="G51" s="130"/>
      <c r="H51" s="126"/>
      <c r="I51" s="1"/>
    </row>
    <row r="52" spans="1:9" x14ac:dyDescent="0.25">
      <c r="A52" s="1"/>
      <c r="B52" s="127" t="s">
        <v>142</v>
      </c>
      <c r="C52" s="128"/>
      <c r="D52" s="128"/>
      <c r="E52" s="128"/>
      <c r="F52" s="129"/>
      <c r="G52" s="55">
        <f>(G47-G48)*(1+'Fane 14. Nøgletal'!C15)</f>
        <v>5733661.1011394178</v>
      </c>
      <c r="H52" s="14" t="s">
        <v>3</v>
      </c>
      <c r="I52" s="1"/>
    </row>
    <row r="53" spans="1:9" x14ac:dyDescent="0.25">
      <c r="A53" s="1"/>
      <c r="B53" s="127" t="s">
        <v>143</v>
      </c>
      <c r="C53" s="128"/>
      <c r="D53" s="128"/>
      <c r="E53" s="128"/>
      <c r="F53" s="129"/>
      <c r="G53" s="55">
        <f>(G52)*'Fane 14. Nøgletal'!C26</f>
        <v>0</v>
      </c>
      <c r="H53" s="14" t="s">
        <v>3</v>
      </c>
      <c r="I53" s="1"/>
    </row>
    <row r="54" spans="1:9" x14ac:dyDescent="0.25">
      <c r="A54" s="1"/>
      <c r="B54" s="65"/>
      <c r="C54" s="66"/>
      <c r="D54" s="66"/>
      <c r="E54" s="66"/>
      <c r="F54" s="66"/>
      <c r="G54" s="58"/>
      <c r="H54" s="19"/>
      <c r="I54" s="1"/>
    </row>
    <row r="55" spans="1:9" x14ac:dyDescent="0.25">
      <c r="A55" s="1"/>
      <c r="B55" s="1"/>
      <c r="C55" s="1"/>
      <c r="D55" s="1"/>
      <c r="E55" s="1"/>
      <c r="F55" s="1"/>
      <c r="G55" s="59"/>
      <c r="H55" s="1"/>
      <c r="I55" s="1"/>
    </row>
    <row r="56" spans="1:9" x14ac:dyDescent="0.25">
      <c r="A56" s="1"/>
      <c r="B56" s="124" t="s">
        <v>176</v>
      </c>
      <c r="C56" s="125"/>
      <c r="D56" s="125"/>
      <c r="E56" s="125"/>
      <c r="F56" s="125"/>
      <c r="G56" s="130"/>
      <c r="H56" s="126"/>
      <c r="I56" s="1"/>
    </row>
    <row r="57" spans="1:9" x14ac:dyDescent="0.25">
      <c r="A57" s="1"/>
      <c r="B57" s="127" t="s">
        <v>177</v>
      </c>
      <c r="C57" s="128"/>
      <c r="D57" s="128"/>
      <c r="E57" s="128"/>
      <c r="F57" s="129"/>
      <c r="G57" s="55">
        <f>(G52-G53)*(1+'Fane 14. Nøgletal'!C15)</f>
        <v>5937779.4363399819</v>
      </c>
      <c r="H57" s="14" t="s">
        <v>3</v>
      </c>
      <c r="I57" s="1"/>
    </row>
    <row r="58" spans="1:9" x14ac:dyDescent="0.25">
      <c r="A58" s="1"/>
      <c r="B58" s="127" t="s">
        <v>178</v>
      </c>
      <c r="C58" s="128"/>
      <c r="D58" s="128"/>
      <c r="E58" s="128"/>
      <c r="F58" s="129"/>
      <c r="G58" s="55">
        <f>(G57)*'Fane 14. Nøgletal'!C26</f>
        <v>0</v>
      </c>
      <c r="H58" s="14" t="s">
        <v>3</v>
      </c>
      <c r="I58" s="1"/>
    </row>
    <row r="59" spans="1:9" x14ac:dyDescent="0.25">
      <c r="A59" s="1"/>
      <c r="B59" s="65"/>
      <c r="C59" s="66"/>
      <c r="D59" s="66"/>
      <c r="E59" s="66"/>
      <c r="F59" s="66"/>
      <c r="G59" s="66"/>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3xDBTCHuFOfHb4BGKFR2KShCZ/NO/9AP7DKmg05k5y2AqT7yYargaBt/n/dsRyVxHHAFWCAmF88RN5aY3+vjkw==" saltValue="FnO2JghqWfJbMVmkt+CWv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7"/>
  <sheetViews>
    <sheetView showGridLines="0" view="pageLayout" zoomScaleNormal="100" workbookViewId="0">
      <selection activeCell="F26" sqref="F26"/>
    </sheetView>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4" t="s">
        <v>9</v>
      </c>
      <c r="C8" s="125"/>
      <c r="D8" s="125"/>
      <c r="E8" s="125"/>
      <c r="F8" s="125"/>
      <c r="G8" s="125"/>
      <c r="H8" s="1"/>
    </row>
    <row r="9" spans="1:8" x14ac:dyDescent="0.25">
      <c r="A9" s="1"/>
      <c r="B9" s="74" t="s">
        <v>179</v>
      </c>
      <c r="C9" s="75"/>
      <c r="D9" s="75"/>
      <c r="E9" s="75"/>
      <c r="F9" s="76"/>
      <c r="G9" s="28">
        <v>1.8788609738556696E-2</v>
      </c>
      <c r="H9" s="1"/>
    </row>
    <row r="10" spans="1:8" x14ac:dyDescent="0.25">
      <c r="A10" s="1"/>
      <c r="B10" s="65"/>
      <c r="C10" s="66"/>
      <c r="D10" s="66"/>
      <c r="E10" s="66"/>
      <c r="F10" s="66"/>
      <c r="G10" s="66"/>
      <c r="H10" s="1"/>
    </row>
    <row r="11" spans="1:8" x14ac:dyDescent="0.25">
      <c r="A11" s="1"/>
      <c r="B11" s="1"/>
      <c r="C11" s="1"/>
      <c r="D11" s="1"/>
      <c r="E11" s="1"/>
      <c r="F11" s="1"/>
      <c r="G11" s="1"/>
      <c r="H11" s="1"/>
    </row>
    <row r="12" spans="1:8" ht="31.5" customHeight="1" x14ac:dyDescent="0.25">
      <c r="A12" s="1"/>
      <c r="B12" s="137" t="s">
        <v>201</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sum2vjbdYjFFQtbRxcvvMk+QEk/Ku90NZhASeGTyXd5hdEW1PyPUZfA495UcHHoJgG2xzvjaEZJbuitnsRi5Kg==" saltValue="cUEVa0YYSgP1M9wbFgov/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19</vt:i4>
      </vt:variant>
    </vt:vector>
  </HeadingPairs>
  <TitlesOfParts>
    <vt:vector size="19"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Tilknyttet virksomhed</vt:lpstr>
      <vt:lpstr>Fane 13. Bortfald</vt:lpstr>
      <vt:lpstr>Fane 14.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2024-03-14T13:03:49Z</dcterms:modified>
</cp:coreProperties>
</file>