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kive Vand AS (S08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23" l="1"/>
  <c r="C20" i="22"/>
  <c r="C20" i="15"/>
  <c r="E28" i="32"/>
  <c r="C32" i="2" s="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<sst xmlns="http://schemas.openxmlformats.org/spreadsheetml/2006/main" count="613" uniqueCount="291">
  <si>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</si>
  <si>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</si>
  <si>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</si>
  <si>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</si>
  <si>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</si>
  <si>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</si>
  <si>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</si>
  <si>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</si>
  <si>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</si>
  <si>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</si>
  <si>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</si>
  <si>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</si>
  <si>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</si>
  <si>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</si>
  <si>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</si>
  <si>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</si>
  <si>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</si>
  <si>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</si>
  <si>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</si>
  <si>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</si>
  <si>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</si>
  <si>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</si>
  <si>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</si>
  <si>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</si>
  <si>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</si>
  <si>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</si>
  <si>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</si>
  <si>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</si>
  <si>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</si>
  <si>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</si>
  <si>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</si>
  <si>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</si>
  <si>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</si>
  <si>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</si>
  <si>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</si>
  <si>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</si>
  <si>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</si>
  <si>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</si>
  <si>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</si>
  <si>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</si>
  <si>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</si>
  <si>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</si>
  <si>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</si>
  <si>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</si>
  <si>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</si>
  <si>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</si>
  <si>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</si>
  <si>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</si>
  <si>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</si>
  <si>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</si>
  <si>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</si>
  <si>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</si>
  <si>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</si>
  <si>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</si>
  <si>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</si>
  <si>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</si>
  <si>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</si>
  <si>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</si>
  <si>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</si>
  <si>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</si>
  <si>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</si>
  <si>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</si>
  <si>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</si>
  <si>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</si>
  <si>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</si>
  <si>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</si>
  <si>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</si>
  <si>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</si>
  <si>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</si>
  <si>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</si>
  <si>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</si>
  <si>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</si>
  <si>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</si>
  <si>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</si>
  <si>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</si>
  <si>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</si>
  <si>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</si>
  <si>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</si>
  <si>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</si>
  <si>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</si>
  <si>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</si>
  <si>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</si>
  <si>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</si>
  <si>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</si>
  <si>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</si>
  <si>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</si>
  <si>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</si>
  <si>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</si>
  <si>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</si>
  <si>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</si>
  <si>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</si>
  <si>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</si>
  <si>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</si>
  <si>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</si>
  <si>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</si>
  <si>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</si>
  <si>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</si>
  <si>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</si>
  <si>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</si>
  <si>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</si>
  <si>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</si>
  <si>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</si>
  <si>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</si>
  <si>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</si>
  <si>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</si>
  <si>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</si>
  <si>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</si>
  <si>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</si>
  <si>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</si>
  <si>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</si>
  <si>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</si>
  <si>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</si>
  <si>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</si>
  <si>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</si>
  <si>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</si>
  <si>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</si>
  <si>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</si>
  <si>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</si>
  <si>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</si>
  <si>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</si>
  <si>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</si>
  <si>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</si>
  <si>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</si>
  <si>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</si>
  <si>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</si>
  <si>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</si>
  <si>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</si>
  <si>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</si>
  <si>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</si>
  <si>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</si>
  <si>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</si>
  <si>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</si>
  <si>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</si>
  <si>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</si>
  <si>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</si>
  <si>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</si>
  <si>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</si>
  <si>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</si>
  <si>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</si>
  <si>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</si>
  <si>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</si>
  <si>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</si>
  <si>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</si>
  <si>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</si>
  <si>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</si>
  <si>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</si>
  <si>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</si>
  <si>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</si>
  <si>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</si>
  <si>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</si>
  <si>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</si>
  <si>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</si>
  <si>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</si>
  <si>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</si>
  <si>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</si>
  <si>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</si>
  <si>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</si>
  <si>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</si>
  <si>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</si>
  <si>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</si>
  <si>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</si>
  <si>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</si>
  <si>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</si>
  <si>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</si>
  <si>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</si>
  <si>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</si>
  <si>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</si>
  <si>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</si>
  <si>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</si>
  <si>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</si>
  <si>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</si>
  <si>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</si>
  <si>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</si>
  <si>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</si>
  <si>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</si>
  <si>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</si>
  <si>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</si>
  <si>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</si>
  <si>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</si>
  <si>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</si>
  <si>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</si>
  <si>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</si>
  <si>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</si>
  <si>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</si>
  <si>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</si>
  <si>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</si>
  <si>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</si>
  <si>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</si>
  <si>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</si>
  <si>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</si>
  <si>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</si>
  <si>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</si>
  <si>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</si>
  <si>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</si>
  <si>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</si>
  <si>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</si>
  <si>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</si>
  <si>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</si>
  <si>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</si>
  <si>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</si>
  <si>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</si>
  <si>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</si>
  <si>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</si>
  <si>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</si>
  <si>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</si>
  <si>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</si>
  <si>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</si>
  <si>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</si>
  <si>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</si>
  <si>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</si>
  <si>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</si>
  <si>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</si>
  <si>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</si>
  <si>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</si>
  <si>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</si>
  <si>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</si>
  <si>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</si>
  <si>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</si>
  <si>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</si>
  <si>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</si>
  <si>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</si>
  <si>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</si>
  <si>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</si>
  <si>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</si>
  <si>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</si>
  <si>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</si>
  <si>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</si>
  <si>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</si>
  <si>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</si>
  <si>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</si>
  <si>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</si>
  <si>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</si>
  <si>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</si>
  <si>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</si>
  <si>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</si>
  <si>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</si>
  <si>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</si>
  <si>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</si>
  <si>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</si>
  <si>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</si>
  <si>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</si>
  <si>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</si>
  <si>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</si>
  <si>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</si>
  <si>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</si>
  <si>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</si>
  <si>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</si>
  <si>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</si>
  <si>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</si>
  <si>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</si>
  <si>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</si>
  <si>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</si>
  <si>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</si>
  <si>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</si>
  <si>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</si>
  <si>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</si>
  <si>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</si>
  <si>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</si>
  <si>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</si>
  <si>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</si>
  <si>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</si>
  <si>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</si>
  <si>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</si>
  <si>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</si>
  <si>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</si>
  <si>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</si>
  <si>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</si>
  <si>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</si>
  <si>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</si>
  <si>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</si>
  <si>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Ejendomsskatter</t>
  </si>
  <si>
    <t>Tjenestemandspensioner</t>
  </si>
  <si>
    <t>Ingen anlægsprojekter</t>
  </si>
  <si>
    <t>Resultat af kontrol med overholdelse af den økonomiske ramme for 2021</t>
  </si>
  <si>
    <t>Byggemodning og nye tilslutninger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</si>
  <si>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</si>
  <si>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</si>
  <si>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</si>
  <si>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</si>
  <si>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</si>
  <si>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</si>
  <si>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</si>
  <si>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</si>
  <si>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</si>
  <si>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Separatkloakeringer mm.</t>
  </si>
  <si>
    <t>Oprening af bassiner</t>
  </si>
  <si>
    <t>Oprensning af bassiner</t>
  </si>
  <si>
    <t>Indregnet fradrag i økonomisk ramme for 2022</t>
  </si>
  <si>
    <t>Indregnet fradrag i økonomisk ramme for 2023</t>
  </si>
  <si>
    <t>Korrektion af fradrag i den økonomiske ramme for 2023</t>
  </si>
  <si>
    <t>Tillæg/fradrag i den økonnomiske ramme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</si>
</sst>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7" t="s">
        <v>227</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11" t="s">
        <v>169</v>
      </c>
      <c r="E13" s="112"/>
      <c r="F13" s="112"/>
      <c r="G13" s="113"/>
      <c r="H13" s="5"/>
      <c r="I13" s="1"/>
    </row>
    <row r="14" spans="1:9" x14ac:dyDescent="0.25">
      <c r="A14" s="1"/>
      <c r="B14" s="1"/>
      <c r="C14" s="6" t="s">
        <v>16</v>
      </c>
      <c r="D14" s="96" t="s">
        <v>237</v>
      </c>
      <c r="E14" s="97"/>
      <c r="F14" s="97"/>
      <c r="G14" s="98"/>
      <c r="H14" s="5"/>
      <c r="I14" s="1"/>
    </row>
    <row r="15" spans="1:9" x14ac:dyDescent="0.25">
      <c r="A15" s="1"/>
      <c r="B15" s="1"/>
      <c r="C15" s="6" t="s">
        <v>34</v>
      </c>
      <c r="D15" s="96" t="s">
        <v>170</v>
      </c>
      <c r="E15" s="97"/>
      <c r="F15" s="97"/>
      <c r="G15" s="98"/>
      <c r="H15" s="5"/>
      <c r="I15" s="1"/>
    </row>
    <row r="16" spans="1:9" x14ac:dyDescent="0.25">
      <c r="A16" s="1"/>
      <c r="B16" s="1"/>
      <c r="C16" s="6" t="s">
        <v>35</v>
      </c>
      <c r="D16" s="96" t="s">
        <v>183</v>
      </c>
      <c r="E16" s="97"/>
      <c r="F16" s="97"/>
      <c r="G16" s="98"/>
      <c r="H16" s="5"/>
      <c r="I16" s="1"/>
    </row>
    <row r="17" spans="1:9" x14ac:dyDescent="0.25">
      <c r="A17" s="1"/>
      <c r="B17" s="1"/>
      <c r="C17" s="6" t="s">
        <v>119</v>
      </c>
      <c r="D17" s="96" t="s">
        <v>184</v>
      </c>
      <c r="E17" s="97"/>
      <c r="F17" s="97"/>
      <c r="G17" s="98"/>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00" t="s">
        <v>12</v>
      </c>
      <c r="E21" s="101"/>
      <c r="F21" s="101"/>
      <c r="G21" s="102"/>
      <c r="H21" s="5"/>
      <c r="I21" s="1"/>
    </row>
    <row r="22" spans="1:9" x14ac:dyDescent="0.25">
      <c r="A22" s="1"/>
      <c r="B22" s="1"/>
      <c r="C22" s="6" t="s">
        <v>83</v>
      </c>
      <c r="D22" s="103" t="s">
        <v>185</v>
      </c>
      <c r="E22" s="104"/>
      <c r="F22" s="104"/>
      <c r="G22" s="105"/>
      <c r="H22" s="5"/>
      <c r="I22" s="1"/>
    </row>
    <row r="23" spans="1:9" x14ac:dyDescent="0.25">
      <c r="A23" s="1"/>
      <c r="B23" s="1"/>
      <c r="C23" s="6" t="s">
        <v>8</v>
      </c>
      <c r="D23" s="103" t="s">
        <v>255</v>
      </c>
      <c r="E23" s="104"/>
      <c r="F23" s="104"/>
      <c r="G23" s="105"/>
      <c r="H23" s="5"/>
      <c r="I23" s="1"/>
    </row>
    <row r="24" spans="1:9" x14ac:dyDescent="0.25">
      <c r="A24" s="1"/>
      <c r="B24" s="1"/>
      <c r="C24" s="6" t="s">
        <v>9</v>
      </c>
      <c r="D24" s="103" t="s">
        <v>186</v>
      </c>
      <c r="E24" s="104"/>
      <c r="F24" s="104"/>
      <c r="G24" s="105"/>
      <c r="H24" s="5"/>
      <c r="I24" s="1"/>
    </row>
    <row r="25" spans="1:9" x14ac:dyDescent="0.25">
      <c r="A25" s="1"/>
      <c r="B25" s="1"/>
      <c r="C25" s="6" t="s">
        <v>248</v>
      </c>
      <c r="D25" s="103" t="s">
        <v>239</v>
      </c>
      <c r="E25" s="104"/>
      <c r="F25" s="104"/>
      <c r="G25" s="105"/>
      <c r="H25" s="1"/>
      <c r="I25" s="1"/>
    </row>
    <row r="26" spans="1:9" x14ac:dyDescent="0.25">
      <c r="A26" s="1"/>
      <c r="B26" s="1"/>
      <c r="C26" s="6" t="s">
        <v>249</v>
      </c>
      <c r="D26" s="103" t="s">
        <v>84</v>
      </c>
      <c r="E26" s="104"/>
      <c r="F26" s="104"/>
      <c r="G26" s="105"/>
      <c r="H26" s="1"/>
      <c r="I26" s="1"/>
    </row>
    <row r="27" spans="1:9" x14ac:dyDescent="0.25">
      <c r="A27" s="1"/>
      <c r="B27" s="1"/>
      <c r="C27" s="6" t="s">
        <v>250</v>
      </c>
      <c r="D27" s="103" t="s">
        <v>85</v>
      </c>
      <c r="E27" s="104"/>
      <c r="F27" s="104"/>
      <c r="G27" s="105"/>
      <c r="H27" s="1"/>
      <c r="I27" s="1"/>
    </row>
    <row r="28" spans="1:9" x14ac:dyDescent="0.25">
      <c r="A28" s="1"/>
      <c r="B28" s="1"/>
      <c r="C28" s="6" t="s">
        <v>15</v>
      </c>
      <c r="D28" s="103" t="s">
        <v>86</v>
      </c>
      <c r="E28" s="104"/>
      <c r="F28" s="104"/>
      <c r="G28" s="105"/>
      <c r="H28" s="1"/>
      <c r="I28" s="1"/>
    </row>
    <row r="29" spans="1:9" x14ac:dyDescent="0.25">
      <c r="A29" s="1"/>
      <c r="B29" s="1"/>
      <c r="C29" s="6" t="s">
        <v>37</v>
      </c>
      <c r="D29" s="103" t="s">
        <v>134</v>
      </c>
      <c r="E29" s="104"/>
      <c r="F29" s="104"/>
      <c r="G29" s="105"/>
      <c r="H29" s="1"/>
      <c r="I29" s="1"/>
    </row>
    <row r="30" spans="1:9" x14ac:dyDescent="0.25">
      <c r="A30" s="1"/>
      <c r="B30" s="1"/>
      <c r="C30" s="6" t="s">
        <v>38</v>
      </c>
      <c r="D30" s="103" t="s">
        <v>36</v>
      </c>
      <c r="E30" s="104"/>
      <c r="F30" s="104"/>
      <c r="G30" s="105"/>
      <c r="H30" s="1"/>
      <c r="I30" s="1"/>
    </row>
    <row r="31" spans="1:9" x14ac:dyDescent="0.25">
      <c r="A31" s="1"/>
      <c r="B31" s="1"/>
      <c r="C31" s="6" t="s">
        <v>251</v>
      </c>
      <c r="D31" s="114" t="s">
        <v>105</v>
      </c>
      <c r="E31" s="115"/>
      <c r="F31" s="115"/>
      <c r="G31" s="116"/>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renG6rWTiamKGFNxyJv8DZWz6+uV7PTUs8Ii0wTxZsFwwQmqIsSunbTZaxBNI+s+nmLYkb9IKGIXWV99OBdqjQ==" saltValue="dBVZ/rRQV4TBQ+XLbdg5T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5" t="s">
        <v>200</v>
      </c>
      <c r="C8" s="126"/>
      <c r="D8" s="127"/>
      <c r="E8" s="1"/>
      <c r="F8" s="1"/>
    </row>
    <row r="9" spans="1:6" ht="15" customHeight="1" x14ac:dyDescent="0.25">
      <c r="A9" s="1"/>
      <c r="B9" s="27" t="s">
        <v>32</v>
      </c>
      <c r="C9" s="61" t="s">
        <v>242</v>
      </c>
      <c r="D9" s="11"/>
      <c r="E9" s="1"/>
      <c r="F9" s="1"/>
    </row>
    <row r="10" spans="1:6" x14ac:dyDescent="0.25">
      <c r="A10" s="1"/>
      <c r="B10" s="92" t="s">
        <v>268</v>
      </c>
      <c r="C10" s="9">
        <v>1301294</v>
      </c>
      <c r="D10" s="14" t="s">
        <v>3</v>
      </c>
      <c r="E10" s="1"/>
      <c r="F10" s="1"/>
    </row>
    <row r="11" spans="1:6" x14ac:dyDescent="0.25">
      <c r="A11" s="1"/>
      <c r="B11" s="92" t="s">
        <v>269</v>
      </c>
      <c r="C11" s="9">
        <v>78164</v>
      </c>
      <c r="D11" s="14" t="s">
        <v>3</v>
      </c>
      <c r="E11" s="1"/>
      <c r="F11" s="1"/>
    </row>
    <row r="12" spans="1:6" x14ac:dyDescent="0.25">
      <c r="A12" s="1"/>
      <c r="B12" s="92" t="s">
        <v>270</v>
      </c>
      <c r="C12" s="9">
        <v>333040</v>
      </c>
      <c r="D12" s="14" t="s">
        <v>3</v>
      </c>
      <c r="E12" s="1"/>
      <c r="F12" s="1"/>
    </row>
    <row r="13" spans="1:6" x14ac:dyDescent="0.25">
      <c r="A13" s="1"/>
      <c r="B13" s="92" t="s">
        <v>271</v>
      </c>
      <c r="C13" s="9">
        <v>180757</v>
      </c>
      <c r="D13" s="14" t="s">
        <v>3</v>
      </c>
      <c r="E13" s="1"/>
      <c r="F13" s="1"/>
    </row>
    <row r="14" spans="1:6" x14ac:dyDescent="0.25">
      <c r="A14" s="1"/>
      <c r="B14" s="33" t="s">
        <v>201</v>
      </c>
      <c r="C14" s="12">
        <f>SUM(C10:C13)</f>
        <v>1893255</v>
      </c>
      <c r="D14" s="13" t="s">
        <v>3</v>
      </c>
      <c r="E14" s="1"/>
      <c r="F14" s="1"/>
    </row>
    <row r="15" spans="1:6" x14ac:dyDescent="0.25">
      <c r="A15" s="1"/>
      <c r="B15" s="33" t="s">
        <v>202</v>
      </c>
      <c r="C15" s="12">
        <f>C14*(1+'Fane 15. Nøgletal'!C15)^2</f>
        <v>2030454.1916568002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5" t="s">
        <v>117</v>
      </c>
      <c r="C18" s="126"/>
      <c r="D18" s="127"/>
      <c r="E18" s="1"/>
      <c r="F18" s="1"/>
    </row>
    <row r="19" spans="1:6" x14ac:dyDescent="0.25">
      <c r="A19" s="1"/>
      <c r="B19" s="92" t="s">
        <v>99</v>
      </c>
      <c r="C19" s="9">
        <v>0</v>
      </c>
      <c r="D19" s="14" t="s">
        <v>3</v>
      </c>
      <c r="E19" s="1"/>
      <c r="F19" s="1"/>
    </row>
    <row r="20" spans="1:6" x14ac:dyDescent="0.25">
      <c r="A20" s="1"/>
      <c r="B20" s="92" t="s">
        <v>129</v>
      </c>
      <c r="C20" s="9">
        <v>0</v>
      </c>
      <c r="D20" s="14" t="s">
        <v>3</v>
      </c>
      <c r="E20" s="1"/>
      <c r="F20" s="1"/>
    </row>
    <row r="21" spans="1:6" x14ac:dyDescent="0.25">
      <c r="A21" s="1"/>
      <c r="B21" s="92" t="s">
        <v>155</v>
      </c>
      <c r="C21" s="9">
        <v>0</v>
      </c>
      <c r="D21" s="14" t="s">
        <v>3</v>
      </c>
      <c r="E21" s="1"/>
      <c r="F21" s="1"/>
    </row>
    <row r="22" spans="1:6" x14ac:dyDescent="0.25">
      <c r="A22" s="1"/>
      <c r="B22" s="34" t="s">
        <v>203</v>
      </c>
      <c r="C22" s="9">
        <v>0</v>
      </c>
      <c r="D22" s="41" t="s">
        <v>3</v>
      </c>
      <c r="E22" s="1"/>
      <c r="F22" s="1"/>
    </row>
    <row r="23" spans="1:6" x14ac:dyDescent="0.25">
      <c r="A23" s="1"/>
      <c r="B23" s="125"/>
      <c r="C23" s="126"/>
      <c r="D23" s="127"/>
      <c r="E23" s="1"/>
      <c r="F23" s="1"/>
    </row>
    <row r="24" spans="1:6" x14ac:dyDescent="0.25">
      <c r="A24" s="1"/>
      <c r="B24" s="1"/>
      <c r="C24" s="1"/>
      <c r="D24" s="1"/>
      <c r="E24" s="1"/>
      <c r="F24" s="1"/>
    </row>
    <row r="25" spans="1:6" x14ac:dyDescent="0.25">
      <c r="A25" s="1"/>
      <c r="B25" s="1"/>
      <c r="C25" s="1"/>
      <c r="D25" s="1"/>
      <c r="E25" s="1"/>
      <c r="F25" s="1"/>
    </row>
    <row r="26" spans="1:6" x14ac:dyDescent="0.25">
      <c r="A26" s="1"/>
      <c r="B26" s="125" t="s">
        <v>98</v>
      </c>
      <c r="C26" s="126"/>
      <c r="D26" s="127"/>
      <c r="E26" s="1"/>
      <c r="F26" s="1"/>
    </row>
    <row r="27" spans="1:6" x14ac:dyDescent="0.25">
      <c r="A27" s="1"/>
      <c r="B27" s="92" t="s">
        <v>99</v>
      </c>
      <c r="C27" s="9">
        <v>0</v>
      </c>
      <c r="D27" s="14" t="s">
        <v>3</v>
      </c>
      <c r="E27" s="1"/>
      <c r="F27" s="1"/>
    </row>
    <row r="28" spans="1:6" x14ac:dyDescent="0.25">
      <c r="A28" s="1"/>
      <c r="B28" s="92" t="s">
        <v>129</v>
      </c>
      <c r="C28" s="9">
        <v>0</v>
      </c>
      <c r="D28" s="14" t="s">
        <v>3</v>
      </c>
      <c r="E28" s="1"/>
      <c r="F28" s="1"/>
    </row>
    <row r="29" spans="1:6" x14ac:dyDescent="0.25">
      <c r="A29" s="1"/>
      <c r="B29" s="92" t="s">
        <v>155</v>
      </c>
      <c r="C29" s="9">
        <v>0</v>
      </c>
      <c r="D29" s="14" t="s">
        <v>3</v>
      </c>
      <c r="E29" s="1"/>
      <c r="F29" s="1"/>
    </row>
    <row r="30" spans="1:6" x14ac:dyDescent="0.25">
      <c r="A30" s="1"/>
      <c r="B30" s="34" t="s">
        <v>203</v>
      </c>
      <c r="C30" s="9">
        <v>0</v>
      </c>
      <c r="D30" s="41" t="s">
        <v>3</v>
      </c>
      <c r="E30" s="1"/>
      <c r="F30" s="1"/>
    </row>
    <row r="31" spans="1:6" x14ac:dyDescent="0.25">
      <c r="A31" s="1"/>
      <c r="B31" s="125"/>
      <c r="C31" s="126"/>
      <c r="D31" s="127"/>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52"/>
      <c r="B48" s="52"/>
      <c r="C48" s="52"/>
      <c r="D48" s="52"/>
      <c r="E48" s="52"/>
      <c r="F48" s="52"/>
    </row>
    <row r="49" spans="1:6" x14ac:dyDescent="0.25">
      <c r="A49" s="52"/>
      <c r="B49" s="52"/>
      <c r="C49" s="52"/>
      <c r="D49" s="52"/>
      <c r="E49" s="52"/>
      <c r="F49" s="52"/>
    </row>
    <row r="50" spans="1:6" x14ac:dyDescent="0.25">
      <c r="A50" s="52"/>
      <c r="B50" s="52"/>
      <c r="C50" s="52"/>
      <c r="D50" s="52"/>
      <c r="E50" s="52"/>
      <c r="F50" s="52"/>
    </row>
    <row r="51" spans="1:6" x14ac:dyDescent="0.25">
      <c r="A51" s="52"/>
      <c r="B51" s="52"/>
      <c r="C51" s="52"/>
      <c r="D51" s="52"/>
      <c r="E51" s="52"/>
      <c r="F51" s="52"/>
    </row>
  </sheetData>
  <sheetProtection algorithmName="SHA-512" hashValue="BtULqTcqF2BYmHGfBEiLrF0NZF32kaTXHHE94lnc1ltMDy8wEeP5f2upKvITjXsSE+2ePCLFmEDlqaBi7zHjuA==" saltValue="H/qKBOi/igmnjQUnyGLNtw=="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204</v>
      </c>
      <c r="C3" s="133"/>
      <c r="D3" s="133"/>
      <c r="E3" s="133"/>
      <c r="F3" s="133"/>
      <c r="G3" s="1"/>
    </row>
    <row r="4" spans="1:7" ht="15" customHeight="1" x14ac:dyDescent="0.25">
      <c r="A4" s="1"/>
      <c r="B4" s="133"/>
      <c r="C4" s="133"/>
      <c r="D4" s="133"/>
      <c r="E4" s="133"/>
      <c r="F4" s="133"/>
      <c r="G4" s="1"/>
    </row>
    <row r="5" spans="1:7" ht="15" customHeight="1" x14ac:dyDescent="0.25">
      <c r="A5" s="1"/>
      <c r="B5" s="80"/>
      <c r="C5" s="80"/>
      <c r="D5" s="80"/>
      <c r="E5" s="80"/>
      <c r="F5" s="80"/>
      <c r="G5" s="1"/>
    </row>
    <row r="6" spans="1:7" ht="15" customHeight="1" x14ac:dyDescent="0.25">
      <c r="A6" s="1"/>
      <c r="B6" s="80"/>
      <c r="C6" s="80"/>
      <c r="D6" s="80"/>
      <c r="E6" s="80"/>
      <c r="F6" s="80"/>
      <c r="G6" s="1"/>
    </row>
    <row r="7" spans="1:7" x14ac:dyDescent="0.25">
      <c r="A7" s="1"/>
      <c r="B7" s="1"/>
      <c r="C7" s="1"/>
      <c r="D7" s="1"/>
      <c r="E7" s="1"/>
      <c r="F7" s="1"/>
      <c r="G7" s="1"/>
    </row>
    <row r="8" spans="1:7" x14ac:dyDescent="0.25">
      <c r="A8" s="1"/>
      <c r="B8" s="125" t="s">
        <v>178</v>
      </c>
      <c r="C8" s="126"/>
      <c r="D8" s="126"/>
      <c r="E8" s="126"/>
      <c r="F8" s="127"/>
      <c r="G8" s="1"/>
    </row>
    <row r="9" spans="1:7" x14ac:dyDescent="0.25">
      <c r="A9" s="1"/>
      <c r="B9" s="134" t="s">
        <v>205</v>
      </c>
      <c r="C9" s="135"/>
      <c r="D9" s="136"/>
      <c r="E9" s="9">
        <v>381964.92533506453</v>
      </c>
      <c r="F9" s="14" t="s">
        <v>3</v>
      </c>
      <c r="G9" s="1"/>
    </row>
    <row r="10" spans="1:7" x14ac:dyDescent="0.25">
      <c r="A10" s="1"/>
      <c r="B10" s="134" t="s">
        <v>265</v>
      </c>
      <c r="C10" s="135"/>
      <c r="D10" s="136"/>
      <c r="E10" s="9">
        <v>381964.92533506453</v>
      </c>
      <c r="F10" s="14" t="s">
        <v>3</v>
      </c>
      <c r="G10" s="1"/>
    </row>
    <row r="11" spans="1:7" x14ac:dyDescent="0.25">
      <c r="A11" s="1"/>
      <c r="B11" s="33"/>
      <c r="C11" s="28"/>
      <c r="D11" s="28"/>
      <c r="E11" s="28"/>
      <c r="F11" s="19"/>
      <c r="G11" s="1"/>
    </row>
    <row r="12" spans="1:7" ht="67.5" customHeight="1" x14ac:dyDescent="0.25">
      <c r="A12" s="1"/>
      <c r="B12" s="128" t="s">
        <v>266</v>
      </c>
      <c r="C12" s="129"/>
      <c r="D12" s="129"/>
      <c r="E12" s="129"/>
      <c r="F12" s="130"/>
      <c r="G12" s="1"/>
    </row>
    <row r="13" spans="1:7" ht="27" customHeight="1" x14ac:dyDescent="0.25">
      <c r="A13" s="1"/>
      <c r="B13" s="1"/>
      <c r="C13" s="1"/>
      <c r="D13" s="1"/>
      <c r="E13" s="1"/>
      <c r="F13" s="1"/>
      <c r="G13" s="1"/>
    </row>
    <row r="14" spans="1:7" ht="28.5" customHeight="1" x14ac:dyDescent="0.25">
      <c r="A14" s="1"/>
      <c r="B14" s="125" t="s">
        <v>179</v>
      </c>
      <c r="C14" s="126"/>
      <c r="D14" s="126"/>
      <c r="E14" s="126"/>
      <c r="F14" s="127"/>
      <c r="G14" s="1"/>
    </row>
    <row r="15" spans="1:7" x14ac:dyDescent="0.25">
      <c r="A15" s="1"/>
      <c r="B15" s="134" t="s">
        <v>287</v>
      </c>
      <c r="C15" s="135"/>
      <c r="D15" s="136"/>
      <c r="E15" s="9">
        <v>0</v>
      </c>
      <c r="F15" s="14" t="s">
        <v>3</v>
      </c>
      <c r="G15" s="1"/>
    </row>
    <row r="16" spans="1:7" x14ac:dyDescent="0.25">
      <c r="A16" s="1"/>
      <c r="B16" s="134" t="s">
        <v>288</v>
      </c>
      <c r="C16" s="135"/>
      <c r="D16" s="136"/>
      <c r="E16" s="9">
        <v>0</v>
      </c>
      <c r="F16" s="14" t="s">
        <v>3</v>
      </c>
      <c r="G16" s="1"/>
    </row>
    <row r="17" spans="1:7" x14ac:dyDescent="0.25">
      <c r="A17" s="1"/>
      <c r="B17" s="33"/>
      <c r="C17" s="28"/>
      <c r="D17" s="28"/>
      <c r="E17" s="28"/>
      <c r="F17" s="19"/>
      <c r="G17" s="1"/>
    </row>
    <row r="18" spans="1:7" ht="31.5" customHeight="1" x14ac:dyDescent="0.25">
      <c r="A18" s="1"/>
      <c r="B18" s="128" t="s">
        <v>180</v>
      </c>
      <c r="C18" s="129"/>
      <c r="D18" s="129"/>
      <c r="E18" s="129"/>
      <c r="F18" s="130"/>
      <c r="G18" s="1"/>
    </row>
    <row r="19" spans="1:7" ht="28.5" customHeight="1" x14ac:dyDescent="0.25">
      <c r="A19" s="1"/>
      <c r="B19" s="1"/>
      <c r="C19" s="1"/>
      <c r="D19" s="1"/>
      <c r="E19" s="1"/>
      <c r="F19" s="1"/>
      <c r="G19" s="1"/>
    </row>
    <row r="20" spans="1:7" ht="28.5" customHeight="1" x14ac:dyDescent="0.25">
      <c r="A20" s="1"/>
      <c r="B20" s="84" t="s">
        <v>206</v>
      </c>
      <c r="C20" s="85"/>
      <c r="D20" s="85"/>
      <c r="E20" s="85"/>
      <c r="F20" s="86"/>
      <c r="G20" s="1"/>
    </row>
    <row r="21" spans="1:7" x14ac:dyDescent="0.25">
      <c r="A21" s="1"/>
      <c r="B21" s="89" t="s">
        <v>207</v>
      </c>
      <c r="C21" s="90"/>
      <c r="D21" s="91"/>
      <c r="E21" s="9">
        <v>80222040.653549314</v>
      </c>
      <c r="F21" s="14" t="s">
        <v>3</v>
      </c>
      <c r="G21" s="1"/>
    </row>
    <row r="22" spans="1:7" x14ac:dyDescent="0.25">
      <c r="A22" s="1"/>
      <c r="B22" s="89" t="s">
        <v>208</v>
      </c>
      <c r="C22" s="90"/>
      <c r="D22" s="91"/>
      <c r="E22" s="9">
        <v>76339783</v>
      </c>
      <c r="F22" s="14" t="s">
        <v>3</v>
      </c>
      <c r="G22" s="1"/>
    </row>
    <row r="23" spans="1:7" x14ac:dyDescent="0.25">
      <c r="A23" s="1"/>
      <c r="B23" s="89" t="s">
        <v>33</v>
      </c>
      <c r="C23" s="90"/>
      <c r="D23" s="91"/>
      <c r="E23" s="9">
        <v>0</v>
      </c>
      <c r="F23" s="14" t="s">
        <v>3</v>
      </c>
      <c r="G23" s="1"/>
    </row>
    <row r="24" spans="1:7" x14ac:dyDescent="0.25">
      <c r="A24" s="1"/>
      <c r="B24" s="87" t="s">
        <v>273</v>
      </c>
      <c r="C24" s="88"/>
      <c r="D24" s="94"/>
      <c r="E24" s="76">
        <f>E21-(E22-E23)</f>
        <v>3882257.6535493135</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5" t="s">
        <v>289</v>
      </c>
      <c r="C27" s="126"/>
      <c r="D27" s="126"/>
      <c r="E27" s="126"/>
      <c r="F27" s="127"/>
      <c r="G27" s="1"/>
    </row>
    <row r="28" spans="1:7" x14ac:dyDescent="0.25">
      <c r="A28" s="1"/>
      <c r="B28" s="131" t="s">
        <v>290</v>
      </c>
      <c r="C28" s="132"/>
      <c r="D28" s="154"/>
      <c r="E28" s="77">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5"/>
      <c r="C29" s="126"/>
      <c r="D29" s="126"/>
      <c r="E29" s="126"/>
      <c r="F29" s="127"/>
      <c r="G29" s="1"/>
    </row>
    <row r="30" spans="1:7" x14ac:dyDescent="0.25">
      <c r="A30" s="1"/>
      <c r="B30" s="1"/>
      <c r="C30" s="1"/>
      <c r="D30" s="1"/>
      <c r="E30" s="1"/>
      <c r="F30" s="1"/>
      <c r="G30" s="1"/>
    </row>
    <row r="31" spans="1:7" ht="28.5" customHeight="1" x14ac:dyDescent="0.25">
      <c r="A31" s="1"/>
      <c r="B31" s="125" t="s">
        <v>267</v>
      </c>
      <c r="C31" s="126"/>
      <c r="D31" s="126"/>
      <c r="E31" s="126"/>
      <c r="F31" s="127"/>
      <c r="G31" s="1"/>
    </row>
    <row r="32" spans="1:7" x14ac:dyDescent="0.25">
      <c r="A32" s="1"/>
      <c r="B32" s="151" t="s">
        <v>143</v>
      </c>
      <c r="C32" s="152"/>
      <c r="D32" s="153"/>
      <c r="E32" s="78">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47" t="s">
        <v>144</v>
      </c>
      <c r="C34" s="147"/>
      <c r="D34" s="147"/>
      <c r="E34" s="77">
        <f>E32/E33</f>
        <v>0</v>
      </c>
      <c r="F34" s="17" t="s">
        <v>3</v>
      </c>
      <c r="G34" s="1"/>
    </row>
    <row r="35" spans="1:7" x14ac:dyDescent="0.25">
      <c r="A35" s="1"/>
      <c r="B35" s="148"/>
      <c r="C35" s="149"/>
      <c r="D35" s="149"/>
      <c r="E35" s="149"/>
      <c r="F35" s="15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52"/>
      <c r="C40" s="52"/>
      <c r="D40" s="52"/>
      <c r="E40" s="52"/>
      <c r="F40" s="52"/>
    </row>
    <row r="41" spans="1:7" x14ac:dyDescent="0.25">
      <c r="A41" s="52"/>
      <c r="B41" s="52"/>
      <c r="C41" s="52"/>
      <c r="D41" s="52"/>
      <c r="E41" s="52"/>
      <c r="F41" s="52"/>
      <c r="G41" s="52"/>
    </row>
    <row r="42" spans="1:7" x14ac:dyDescent="0.25">
      <c r="A42" s="52"/>
      <c r="B42" s="52"/>
      <c r="C42" s="52"/>
      <c r="D42" s="52"/>
      <c r="E42" s="52"/>
      <c r="F42" s="52"/>
      <c r="G42" s="52"/>
    </row>
  </sheetData>
  <sheetProtection algorithmName="SHA-512" hashValue="bSMx/cx3ZDrzVhbzs7FAvsUYUd4Or9v4pz1WrqenC6ldWLYC9IPgCzevXs5gDej05OMp55z0I9ysaifOnkbcNQ==" saltValue="CWYAtOpHA1SbwgqxukCoOw==" spinCount="100000" sheet="1" objects="1" scenarios="1"/>
  <mergeCells count="17">
    <mergeCell ref="B34:D34"/>
    <mergeCell ref="B35:F35"/>
    <mergeCell ref="B15:D15"/>
    <mergeCell ref="B16:D16"/>
    <mergeCell ref="B32:D32"/>
    <mergeCell ref="B29:F29"/>
    <mergeCell ref="B18:F18"/>
    <mergeCell ref="B27:F27"/>
    <mergeCell ref="B28:D28"/>
    <mergeCell ref="B31:F31"/>
    <mergeCell ref="B33:D33"/>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2" customWidth="1"/>
    <col min="2" max="2" width="22.5703125" style="72" customWidth="1"/>
    <col min="3" max="3" width="8.28515625" style="72" customWidth="1"/>
    <col min="4" max="6" width="10.7109375" style="72" customWidth="1"/>
    <col min="7" max="7" width="11.140625" style="72" customWidth="1"/>
    <col min="8" max="8" width="3.28515625" style="72" customWidth="1"/>
    <col min="9" max="9" width="4.85546875" style="72" customWidth="1"/>
    <col min="10" max="16384" width="9.140625" style="7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5" t="s">
        <v>264</v>
      </c>
      <c r="C8" s="126"/>
      <c r="D8" s="126"/>
      <c r="E8" s="126"/>
      <c r="F8" s="126"/>
      <c r="G8" s="126"/>
      <c r="H8" s="127"/>
      <c r="I8" s="1"/>
    </row>
    <row r="9" spans="1:9" ht="15" customHeight="1" x14ac:dyDescent="0.25">
      <c r="A9" s="1"/>
      <c r="B9" s="122" t="s">
        <v>253</v>
      </c>
      <c r="C9" s="123"/>
      <c r="D9" s="123"/>
      <c r="E9" s="123"/>
      <c r="F9" s="123"/>
      <c r="G9" s="123"/>
      <c r="H9" s="124"/>
      <c r="I9" s="1"/>
    </row>
    <row r="10" spans="1:9" x14ac:dyDescent="0.25">
      <c r="A10" s="1"/>
      <c r="B10" s="155" t="s">
        <v>276</v>
      </c>
      <c r="C10" s="156"/>
      <c r="D10" s="156"/>
      <c r="E10" s="156"/>
      <c r="F10" s="157"/>
      <c r="G10" s="9">
        <v>0</v>
      </c>
      <c r="H10" s="9" t="s">
        <v>3</v>
      </c>
      <c r="I10" s="1"/>
    </row>
    <row r="11" spans="1:9" x14ac:dyDescent="0.25">
      <c r="A11" s="1"/>
      <c r="B11" s="155" t="s">
        <v>277</v>
      </c>
      <c r="C11" s="156"/>
      <c r="D11" s="156"/>
      <c r="E11" s="156"/>
      <c r="F11" s="157"/>
      <c r="G11" s="9">
        <v>0</v>
      </c>
      <c r="H11" s="9" t="s">
        <v>3</v>
      </c>
      <c r="I11" s="1"/>
    </row>
    <row r="12" spans="1:9" x14ac:dyDescent="0.25">
      <c r="A12" s="1"/>
      <c r="B12" s="155" t="s">
        <v>278</v>
      </c>
      <c r="C12" s="156"/>
      <c r="D12" s="156"/>
      <c r="E12" s="156"/>
      <c r="F12" s="157"/>
      <c r="G12" s="9">
        <v>0</v>
      </c>
      <c r="H12" s="9" t="s">
        <v>3</v>
      </c>
      <c r="I12" s="1"/>
    </row>
    <row r="13" spans="1:9" x14ac:dyDescent="0.25">
      <c r="A13" s="1"/>
      <c r="B13" s="155" t="s">
        <v>279</v>
      </c>
      <c r="C13" s="156"/>
      <c r="D13" s="156"/>
      <c r="E13" s="156"/>
      <c r="F13" s="157"/>
      <c r="G13" s="9">
        <v>0</v>
      </c>
      <c r="H13" s="9" t="s">
        <v>3</v>
      </c>
      <c r="I13" s="1"/>
    </row>
    <row r="14" spans="1:9" x14ac:dyDescent="0.25">
      <c r="A14" s="1"/>
      <c r="B14" s="155" t="s">
        <v>280</v>
      </c>
      <c r="C14" s="156"/>
      <c r="D14" s="156"/>
      <c r="E14" s="156"/>
      <c r="F14" s="157"/>
      <c r="G14" s="9">
        <v>0</v>
      </c>
      <c r="H14" s="9" t="s">
        <v>3</v>
      </c>
      <c r="I14" s="1"/>
    </row>
    <row r="15" spans="1:9" x14ac:dyDescent="0.25">
      <c r="A15" s="1"/>
      <c r="B15" s="155" t="s">
        <v>281</v>
      </c>
      <c r="C15" s="156"/>
      <c r="D15" s="156"/>
      <c r="E15" s="156"/>
      <c r="F15" s="157"/>
      <c r="G15" s="9">
        <v>0</v>
      </c>
      <c r="H15" s="9" t="s">
        <v>3</v>
      </c>
      <c r="I15" s="1"/>
    </row>
    <row r="16" spans="1:9" x14ac:dyDescent="0.25">
      <c r="A16" s="1"/>
      <c r="B16" s="155" t="s">
        <v>282</v>
      </c>
      <c r="C16" s="156"/>
      <c r="D16" s="156"/>
      <c r="E16" s="156"/>
      <c r="F16" s="157"/>
      <c r="G16" s="9">
        <v>0</v>
      </c>
      <c r="H16" s="9" t="s">
        <v>3</v>
      </c>
      <c r="I16" s="1"/>
    </row>
    <row r="17" spans="1:9" x14ac:dyDescent="0.25">
      <c r="A17" s="1"/>
      <c r="B17" s="155" t="s">
        <v>283</v>
      </c>
      <c r="C17" s="156"/>
      <c r="D17" s="156"/>
      <c r="E17" s="156"/>
      <c r="F17" s="157"/>
      <c r="G17" s="9">
        <v>0</v>
      </c>
      <c r="H17" s="9" t="s">
        <v>3</v>
      </c>
      <c r="I17" s="1"/>
    </row>
    <row r="18" spans="1:9" x14ac:dyDescent="0.25">
      <c r="A18" s="1"/>
      <c r="B18" s="125" t="s">
        <v>254</v>
      </c>
      <c r="C18" s="126"/>
      <c r="D18" s="126"/>
      <c r="E18" s="126"/>
      <c r="F18" s="12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IhbWz1+U581Jb8Ar/EBAO2jpMGIzS3kWWOVX1IpIb5rxGKxFHiZVSFIoTQWfhDYSvWEd/m5siDlTinT6yp97fw==" saltValue="7JIz/vzp6KPHYSKlneYp7g=="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256</v>
      </c>
      <c r="C3" s="133"/>
      <c r="D3" s="133"/>
      <c r="E3" s="133"/>
      <c r="F3" s="133"/>
      <c r="G3" s="1"/>
    </row>
    <row r="4" spans="1:7" ht="1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209</v>
      </c>
      <c r="C9" s="126"/>
      <c r="D9" s="126"/>
      <c r="E9" s="126"/>
      <c r="F9" s="127"/>
      <c r="G9" s="1"/>
    </row>
    <row r="10" spans="1:7" x14ac:dyDescent="0.25">
      <c r="A10" s="1"/>
      <c r="B10" s="128" t="s">
        <v>100</v>
      </c>
      <c r="C10" s="129"/>
      <c r="D10" s="130"/>
      <c r="E10" s="7">
        <v>0</v>
      </c>
      <c r="F10" s="8" t="s">
        <v>3</v>
      </c>
      <c r="G10" s="1"/>
    </row>
    <row r="11" spans="1:7" x14ac:dyDescent="0.25">
      <c r="A11" s="1"/>
      <c r="B11" s="134" t="s">
        <v>210</v>
      </c>
      <c r="C11" s="135"/>
      <c r="D11" s="136"/>
      <c r="E11" s="7">
        <v>0</v>
      </c>
      <c r="F11" s="8" t="s">
        <v>3</v>
      </c>
      <c r="G11" s="1"/>
    </row>
    <row r="12" spans="1:7" x14ac:dyDescent="0.25">
      <c r="A12" s="1"/>
      <c r="B12" s="131" t="s">
        <v>101</v>
      </c>
      <c r="C12" s="132"/>
      <c r="D12" s="154"/>
      <c r="E12" s="10">
        <f>E11-E10</f>
        <v>0</v>
      </c>
      <c r="F12" s="11" t="s">
        <v>3</v>
      </c>
      <c r="G12" s="1"/>
    </row>
    <row r="13" spans="1:7" x14ac:dyDescent="0.25">
      <c r="A13" s="1"/>
      <c r="B13" s="125" t="s">
        <v>94</v>
      </c>
      <c r="C13" s="126"/>
      <c r="D13" s="126"/>
      <c r="E13" s="126"/>
      <c r="F13" s="127"/>
      <c r="G13" s="1"/>
    </row>
    <row r="14" spans="1:7" x14ac:dyDescent="0.25">
      <c r="A14" s="1"/>
      <c r="B14" s="134" t="s">
        <v>211</v>
      </c>
      <c r="C14" s="135"/>
      <c r="D14" s="136"/>
      <c r="E14" s="9">
        <v>0</v>
      </c>
      <c r="F14" s="8" t="s">
        <v>3</v>
      </c>
      <c r="G14" s="1"/>
    </row>
    <row r="15" spans="1:7" x14ac:dyDescent="0.25">
      <c r="A15" s="1"/>
      <c r="B15" s="128" t="s">
        <v>212</v>
      </c>
      <c r="C15" s="129"/>
      <c r="D15" s="130"/>
      <c r="E15" s="9">
        <v>0</v>
      </c>
      <c r="F15" s="8" t="s">
        <v>3</v>
      </c>
      <c r="G15" s="1"/>
    </row>
    <row r="16" spans="1:7" x14ac:dyDescent="0.25">
      <c r="A16" s="1"/>
      <c r="B16" s="131" t="s">
        <v>101</v>
      </c>
      <c r="C16" s="132"/>
      <c r="D16" s="154"/>
      <c r="E16" s="10">
        <f>E15-E14</f>
        <v>0</v>
      </c>
      <c r="F16" s="11" t="s">
        <v>3</v>
      </c>
      <c r="G16" s="1"/>
    </row>
    <row r="17" spans="1:7" x14ac:dyDescent="0.25">
      <c r="A17" s="1"/>
      <c r="B17" s="33" t="s">
        <v>213</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rFJ0F3kouFaWsFrARRKaq3uOdlJKYD+Uqe0ED+7W9iQg0EWtmpukCeQZWwCEL9hjlgS4hIu1/sByVngmBFB3g==" saltValue="R0pIIbF1Kld9ec57FmL/z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5" t="s">
        <v>221</v>
      </c>
      <c r="C8" s="126"/>
      <c r="D8" s="126"/>
      <c r="E8" s="126"/>
      <c r="F8" s="126"/>
      <c r="G8" s="126"/>
      <c r="H8" s="126"/>
      <c r="I8" s="126"/>
      <c r="J8" s="126"/>
      <c r="K8" s="127"/>
      <c r="L8" s="1"/>
    </row>
    <row r="9" spans="1:12" ht="39.75" customHeight="1" x14ac:dyDescent="0.25">
      <c r="A9" s="1"/>
      <c r="B9" s="18" t="s">
        <v>0</v>
      </c>
      <c r="C9" s="18" t="s">
        <v>1</v>
      </c>
      <c r="D9" s="158" t="s">
        <v>247</v>
      </c>
      <c r="E9" s="159"/>
      <c r="F9" s="158" t="s">
        <v>2</v>
      </c>
      <c r="G9" s="159"/>
      <c r="H9" s="158" t="s">
        <v>246</v>
      </c>
      <c r="I9" s="159"/>
      <c r="J9" s="158" t="s">
        <v>30</v>
      </c>
      <c r="K9" s="159"/>
      <c r="L9" s="1"/>
    </row>
    <row r="10" spans="1:12" x14ac:dyDescent="0.25">
      <c r="A10" s="1"/>
      <c r="B10" s="95" t="s">
        <v>272</v>
      </c>
      <c r="C10" s="42">
        <v>0</v>
      </c>
      <c r="D10" s="9">
        <v>0</v>
      </c>
      <c r="E10" s="14" t="s">
        <v>3</v>
      </c>
      <c r="F10" s="9">
        <f>IFERROR(D10/C10,0)</f>
        <v>0</v>
      </c>
      <c r="G10" s="14" t="s">
        <v>3</v>
      </c>
      <c r="H10" s="45">
        <v>0</v>
      </c>
      <c r="I10" s="14" t="s">
        <v>3</v>
      </c>
      <c r="J10" s="45">
        <v>0</v>
      </c>
      <c r="K10" s="14" t="s">
        <v>3</v>
      </c>
      <c r="L10" s="1"/>
    </row>
    <row r="11" spans="1:12" x14ac:dyDescent="0.25">
      <c r="A11" s="1"/>
      <c r="B11" s="84" t="s">
        <v>222</v>
      </c>
      <c r="C11" s="85"/>
      <c r="D11" s="86"/>
      <c r="E11" s="86"/>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k+2/yeI35vlrJaS08NIdPIOhP27YcMPnucdy9vg45mM92WfpeyJAdBdOq1EUKTtqbg3jfLuBZtliz8EZgiG7nw==" saltValue="CeJA9pMkBlfLus+NuXfmk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2" t="s">
        <v>17</v>
      </c>
      <c r="C9" s="82" t="s">
        <v>11</v>
      </c>
      <c r="D9" s="83"/>
      <c r="E9" s="82"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x14ac:dyDescent="0.25">
      <c r="A11" s="1"/>
      <c r="B11" s="24" t="s">
        <v>284</v>
      </c>
      <c r="C11" s="21">
        <v>88891</v>
      </c>
      <c r="D11" s="14" t="s">
        <v>3</v>
      </c>
      <c r="E11" s="9">
        <v>699339</v>
      </c>
      <c r="F11" s="14" t="s">
        <v>3</v>
      </c>
      <c r="G11" s="1"/>
    </row>
    <row r="12" spans="1:7" x14ac:dyDescent="0.25">
      <c r="A12" s="1"/>
      <c r="B12" s="24" t="s">
        <v>274</v>
      </c>
      <c r="C12" s="21">
        <v>4548</v>
      </c>
      <c r="D12" s="14" t="s">
        <v>3</v>
      </c>
      <c r="E12" s="9">
        <v>40056</v>
      </c>
      <c r="F12" s="14" t="s">
        <v>3</v>
      </c>
      <c r="G12" s="1"/>
    </row>
    <row r="13" spans="1:7" x14ac:dyDescent="0.25">
      <c r="A13" s="1"/>
      <c r="B13" s="24" t="s">
        <v>285</v>
      </c>
      <c r="C13" s="21">
        <v>119341</v>
      </c>
      <c r="D13" s="14" t="s">
        <v>3</v>
      </c>
      <c r="E13" s="9">
        <v>0</v>
      </c>
      <c r="F13" s="14" t="s">
        <v>3</v>
      </c>
      <c r="G13" s="1"/>
    </row>
    <row r="14" spans="1:7" x14ac:dyDescent="0.25">
      <c r="A14" s="1"/>
      <c r="B14" s="33" t="s">
        <v>156</v>
      </c>
      <c r="C14" s="12">
        <f>SUM(C10:C13)</f>
        <v>212780</v>
      </c>
      <c r="D14" s="13" t="s">
        <v>3</v>
      </c>
      <c r="E14" s="12">
        <f>SUM(E10:E13)</f>
        <v>739395</v>
      </c>
      <c r="F14" s="13" t="s">
        <v>3</v>
      </c>
      <c r="G14" s="1"/>
    </row>
    <row r="15" spans="1:7" x14ac:dyDescent="0.25">
      <c r="A15" s="1"/>
      <c r="B15" s="33" t="s">
        <v>214</v>
      </c>
      <c r="C15" s="12">
        <f>C14*(1+'Fane 15. Nøgletal'!C15)</f>
        <v>220354.96800000002</v>
      </c>
      <c r="D15" s="13" t="s">
        <v>3</v>
      </c>
      <c r="E15" s="12">
        <f>E14*(1+'Fane 15. Nøgletal'!C15)</f>
        <v>765717.46200000006</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WjYvCQev0cGCIoGH9mNaVH+mteHyl3ZHRHK6jbE/YK3urXX/0iVLMGARipII2bJG85VJ6p+nhn9RwKU2sW9z3A==" saltValue="t5pwyfbgy9cHPC8hQOgU0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97</v>
      </c>
      <c r="C8" s="126"/>
      <c r="D8" s="126"/>
      <c r="E8" s="126"/>
      <c r="F8" s="127"/>
      <c r="G8" s="1"/>
    </row>
    <row r="9" spans="1:7" x14ac:dyDescent="0.25">
      <c r="A9" s="1"/>
      <c r="B9" s="82" t="s">
        <v>17</v>
      </c>
      <c r="C9" s="82" t="s">
        <v>11</v>
      </c>
      <c r="D9" s="83"/>
      <c r="E9" s="82" t="s">
        <v>31</v>
      </c>
      <c r="F9" s="32"/>
      <c r="G9" s="1"/>
    </row>
    <row r="10" spans="1:7" x14ac:dyDescent="0.25">
      <c r="A10" s="1"/>
      <c r="B10" s="24" t="s">
        <v>286</v>
      </c>
      <c r="C10" s="21">
        <v>1193414</v>
      </c>
      <c r="D10" s="14" t="s">
        <v>3</v>
      </c>
      <c r="E10" s="9">
        <v>0</v>
      </c>
      <c r="F10" s="14" t="s">
        <v>3</v>
      </c>
      <c r="G10" s="1"/>
    </row>
    <row r="11" spans="1:7" x14ac:dyDescent="0.25">
      <c r="A11" s="1"/>
      <c r="B11" s="33" t="s">
        <v>234</v>
      </c>
      <c r="C11" s="12">
        <f>SUM(C10:C10)</f>
        <v>1193414</v>
      </c>
      <c r="D11" s="13" t="s">
        <v>3</v>
      </c>
      <c r="E11" s="12">
        <f>SUM(E10:E10)</f>
        <v>0</v>
      </c>
      <c r="F11" s="13" t="s">
        <v>3</v>
      </c>
      <c r="G11" s="1"/>
    </row>
    <row r="12" spans="1:7" x14ac:dyDescent="0.25">
      <c r="A12" s="1"/>
      <c r="B12" s="33" t="s">
        <v>136</v>
      </c>
      <c r="C12" s="12">
        <f>C11*(1+'Fane 15. Nøgletal'!C15)^2</f>
        <v>1279897.5619670402</v>
      </c>
      <c r="D12" s="13" t="s">
        <v>3</v>
      </c>
      <c r="E12" s="12">
        <f>E11*(1+'Fane 15. Nøgletal'!C15)^2</f>
        <v>0</v>
      </c>
      <c r="F12" s="13" t="s">
        <v>3</v>
      </c>
      <c r="G12" s="1"/>
    </row>
    <row r="13" spans="1:7" x14ac:dyDescent="0.25">
      <c r="A13" s="1"/>
      <c r="B13" s="1"/>
      <c r="C13" s="1"/>
      <c r="D13" s="1"/>
      <c r="E13" s="1"/>
      <c r="F13" s="1"/>
      <c r="G13" s="1"/>
    </row>
    <row r="14" spans="1:7" x14ac:dyDescent="0.25">
      <c r="A14" s="1"/>
      <c r="B14" s="160"/>
      <c r="C14" s="160"/>
      <c r="D14" s="160"/>
      <c r="E14" s="160"/>
      <c r="F14" s="160"/>
      <c r="G14" s="1"/>
    </row>
    <row r="15" spans="1:7" x14ac:dyDescent="0.25">
      <c r="A15" s="1"/>
      <c r="B15" s="63"/>
      <c r="C15" s="63"/>
      <c r="D15" s="63"/>
      <c r="E15" s="63"/>
      <c r="F15" s="64"/>
      <c r="G15" s="1"/>
    </row>
    <row r="16" spans="1:7" x14ac:dyDescent="0.25">
      <c r="A16" s="1"/>
      <c r="B16" s="65"/>
      <c r="C16" s="66"/>
      <c r="D16" s="67"/>
      <c r="E16" s="68"/>
      <c r="F16" s="67"/>
      <c r="G16" s="1"/>
    </row>
    <row r="17" spans="1:7" x14ac:dyDescent="0.25">
      <c r="A17" s="1"/>
      <c r="B17" s="65"/>
      <c r="C17" s="66"/>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3"/>
      <c r="C22" s="63"/>
      <c r="D22" s="63"/>
      <c r="E22" s="63"/>
      <c r="F22" s="64"/>
      <c r="G22" s="1"/>
    </row>
    <row r="23" spans="1:7" x14ac:dyDescent="0.25">
      <c r="A23" s="1"/>
      <c r="B23" s="65"/>
      <c r="C23" s="66"/>
      <c r="D23" s="67"/>
      <c r="E23" s="68"/>
      <c r="F23" s="67"/>
      <c r="G23" s="1"/>
    </row>
    <row r="24" spans="1:7" x14ac:dyDescent="0.25">
      <c r="A24" s="1"/>
      <c r="B24" s="65"/>
      <c r="C24" s="66"/>
      <c r="D24" s="67"/>
      <c r="E24" s="68"/>
      <c r="F24" s="67"/>
      <c r="G24" s="1"/>
    </row>
    <row r="25" spans="1:7" x14ac:dyDescent="0.25">
      <c r="A25" s="1"/>
      <c r="B25" s="69"/>
      <c r="C25" s="70"/>
      <c r="D25" s="71"/>
      <c r="E25" s="70"/>
      <c r="F25" s="71"/>
      <c r="G25" s="1"/>
    </row>
    <row r="26" spans="1:7" x14ac:dyDescent="0.25">
      <c r="A26" s="1"/>
      <c r="B26" s="69"/>
      <c r="C26" s="70"/>
      <c r="D26" s="71"/>
      <c r="E26" s="70"/>
      <c r="F26" s="71"/>
      <c r="G26" s="1"/>
    </row>
    <row r="27" spans="1:7" x14ac:dyDescent="0.25">
      <c r="A27" s="1"/>
      <c r="B27" s="62"/>
      <c r="C27" s="62"/>
      <c r="D27" s="62"/>
      <c r="E27" s="62"/>
      <c r="F27" s="62"/>
      <c r="G27" s="1"/>
    </row>
    <row r="28" spans="1:7" x14ac:dyDescent="0.25">
      <c r="A28" s="1"/>
      <c r="B28" s="160"/>
      <c r="C28" s="160"/>
      <c r="D28" s="160"/>
      <c r="E28" s="160"/>
      <c r="F28" s="160"/>
      <c r="G28" s="1"/>
    </row>
    <row r="29" spans="1:7" x14ac:dyDescent="0.25">
      <c r="A29" s="1"/>
      <c r="B29" s="63"/>
      <c r="C29" s="63"/>
      <c r="D29" s="63"/>
      <c r="E29" s="63"/>
      <c r="F29" s="64"/>
      <c r="G29" s="1"/>
    </row>
    <row r="30" spans="1:7" x14ac:dyDescent="0.25">
      <c r="A30" s="1"/>
      <c r="B30" s="65"/>
      <c r="C30" s="66"/>
      <c r="D30" s="67"/>
      <c r="E30" s="68"/>
      <c r="F30" s="67"/>
      <c r="G30" s="1"/>
    </row>
    <row r="31" spans="1:7" x14ac:dyDescent="0.25">
      <c r="A31" s="1"/>
      <c r="B31" s="65"/>
      <c r="C31" s="66"/>
      <c r="D31" s="67"/>
      <c r="E31" s="68"/>
      <c r="F31" s="67"/>
      <c r="G31" s="1"/>
    </row>
    <row r="32" spans="1:7" x14ac:dyDescent="0.25">
      <c r="A32" s="1"/>
      <c r="B32" s="69"/>
      <c r="C32" s="70"/>
      <c r="D32" s="71"/>
      <c r="E32" s="70"/>
      <c r="F32" s="71"/>
      <c r="G32" s="1"/>
    </row>
    <row r="33" spans="1:7" x14ac:dyDescent="0.25">
      <c r="A33" s="1"/>
      <c r="B33" s="69"/>
      <c r="C33" s="70"/>
      <c r="D33" s="71"/>
      <c r="E33" s="70"/>
      <c r="F33" s="7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3GE3ABXeLw+iskRoMX/7r3fTvNJvAO/XGD/8U0T/n3yxT2Nw7Xb1O0YsrNDXnrBSjZg/50MtktcVaAdumgQvmQ==" saltValue="2ETr4EXlJ33vN9+KruBpj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260</v>
      </c>
      <c r="C3" s="133"/>
      <c r="D3" s="133"/>
      <c r="E3" s="133"/>
      <c r="F3" s="133"/>
      <c r="G3" s="1"/>
    </row>
    <row r="4" spans="1:7" ht="15" customHeight="1" x14ac:dyDescent="0.25">
      <c r="A4" s="1"/>
      <c r="B4" s="133"/>
      <c r="C4" s="133"/>
      <c r="D4" s="133"/>
      <c r="E4" s="133"/>
      <c r="F4" s="133"/>
      <c r="G4" s="1"/>
    </row>
    <row r="5" spans="1:7" x14ac:dyDescent="0.25">
      <c r="A5" s="1"/>
      <c r="B5" s="133"/>
      <c r="C5" s="133"/>
      <c r="D5" s="133"/>
      <c r="E5" s="133"/>
      <c r="F5" s="13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5" t="s">
        <v>91</v>
      </c>
      <c r="C9" s="126"/>
      <c r="D9" s="126"/>
      <c r="E9" s="126"/>
      <c r="F9" s="127"/>
      <c r="G9" s="1"/>
    </row>
    <row r="10" spans="1:7" x14ac:dyDescent="0.25">
      <c r="A10" s="1"/>
      <c r="B10" s="155" t="s">
        <v>226</v>
      </c>
      <c r="C10" s="156"/>
      <c r="D10" s="157"/>
      <c r="E10" s="9">
        <v>0</v>
      </c>
      <c r="F10" s="14" t="s">
        <v>3</v>
      </c>
      <c r="G10" s="1"/>
    </row>
    <row r="11" spans="1:7" x14ac:dyDescent="0.25">
      <c r="A11" s="1"/>
      <c r="B11" s="119" t="s">
        <v>10</v>
      </c>
      <c r="C11" s="120"/>
      <c r="D11" s="121"/>
      <c r="E11" s="9">
        <f>-E10*'Fane 5. Individuelt eff. krav'!G9</f>
        <v>0</v>
      </c>
      <c r="F11" s="14" t="s">
        <v>3</v>
      </c>
      <c r="G11" s="1"/>
    </row>
    <row r="12" spans="1:7" x14ac:dyDescent="0.25">
      <c r="A12" s="1"/>
      <c r="B12" s="119" t="s">
        <v>24</v>
      </c>
      <c r="C12" s="120"/>
      <c r="D12" s="121"/>
      <c r="E12" s="9">
        <f>-E10*'Fane 15. Nøgletal'!C31</f>
        <v>0</v>
      </c>
      <c r="F12" s="14" t="s">
        <v>3</v>
      </c>
      <c r="G12" s="1"/>
    </row>
    <row r="13" spans="1:7" x14ac:dyDescent="0.25">
      <c r="A13" s="1"/>
      <c r="B13" s="125" t="s">
        <v>92</v>
      </c>
      <c r="C13" s="126"/>
      <c r="D13" s="127"/>
      <c r="E13" s="12">
        <f>SUM(E10:E12)*(1+'Fane 15. Nøgletal'!C15)^2</f>
        <v>0</v>
      </c>
      <c r="F13" s="13" t="s">
        <v>3</v>
      </c>
      <c r="G13" s="1"/>
    </row>
    <row r="14" spans="1:7" x14ac:dyDescent="0.25">
      <c r="A14" s="1"/>
      <c r="B14" s="1"/>
      <c r="C14" s="1"/>
      <c r="D14" s="1"/>
      <c r="E14" s="1"/>
      <c r="F14" s="1"/>
      <c r="G14" s="1"/>
    </row>
    <row r="15" spans="1:7" ht="15" customHeight="1" x14ac:dyDescent="0.25">
      <c r="A15" s="1"/>
      <c r="B15" s="125" t="s">
        <v>130</v>
      </c>
      <c r="C15" s="126"/>
      <c r="D15" s="126"/>
      <c r="E15" s="126"/>
      <c r="F15" s="127"/>
      <c r="G15" s="1"/>
    </row>
    <row r="16" spans="1:7" x14ac:dyDescent="0.25">
      <c r="A16" s="1"/>
      <c r="B16" s="155" t="s">
        <v>226</v>
      </c>
      <c r="C16" s="156"/>
      <c r="D16" s="157"/>
      <c r="E16" s="9">
        <v>0</v>
      </c>
      <c r="F16" s="14" t="s">
        <v>3</v>
      </c>
      <c r="G16" s="1"/>
    </row>
    <row r="17" spans="1:7" x14ac:dyDescent="0.25">
      <c r="A17" s="1"/>
      <c r="B17" s="119" t="s">
        <v>10</v>
      </c>
      <c r="C17" s="120"/>
      <c r="D17" s="121"/>
      <c r="E17" s="9">
        <f>-E16*'Fane 5. Individuelt eff. krav'!G9</f>
        <v>0</v>
      </c>
      <c r="F17" s="14" t="s">
        <v>3</v>
      </c>
      <c r="G17" s="1"/>
    </row>
    <row r="18" spans="1:7" x14ac:dyDescent="0.25">
      <c r="A18" s="1"/>
      <c r="B18" s="119" t="s">
        <v>24</v>
      </c>
      <c r="C18" s="120"/>
      <c r="D18" s="121"/>
      <c r="E18" s="9">
        <f>-E16*'Fane 15. Nøgletal'!C31</f>
        <v>0</v>
      </c>
      <c r="F18" s="14" t="s">
        <v>3</v>
      </c>
      <c r="G18" s="1"/>
    </row>
    <row r="19" spans="1:7" x14ac:dyDescent="0.25">
      <c r="A19" s="1"/>
      <c r="B19" s="125" t="s">
        <v>131</v>
      </c>
      <c r="C19" s="126"/>
      <c r="D19" s="127"/>
      <c r="E19" s="12">
        <f>SUM(E16:E18)*(1+'Fane 15. Nøgletal'!C15)^3</f>
        <v>0</v>
      </c>
      <c r="F19" s="13" t="s">
        <v>3</v>
      </c>
      <c r="G19" s="1"/>
    </row>
    <row r="20" spans="1:7" x14ac:dyDescent="0.25">
      <c r="A20" s="1"/>
      <c r="B20" s="1"/>
      <c r="C20" s="1"/>
      <c r="D20" s="1"/>
      <c r="E20" s="1"/>
      <c r="F20" s="1"/>
      <c r="G20" s="1"/>
    </row>
    <row r="21" spans="1:7" ht="15" customHeight="1" x14ac:dyDescent="0.25">
      <c r="A21" s="1"/>
      <c r="B21" s="125" t="s">
        <v>157</v>
      </c>
      <c r="C21" s="126"/>
      <c r="D21" s="126"/>
      <c r="E21" s="126"/>
      <c r="F21" s="127"/>
      <c r="G21" s="1"/>
    </row>
    <row r="22" spans="1:7" x14ac:dyDescent="0.25">
      <c r="A22" s="1"/>
      <c r="B22" s="155" t="s">
        <v>226</v>
      </c>
      <c r="C22" s="156"/>
      <c r="D22" s="157"/>
      <c r="E22" s="9">
        <v>0</v>
      </c>
      <c r="F22" s="14" t="s">
        <v>3</v>
      </c>
      <c r="G22" s="1"/>
    </row>
    <row r="23" spans="1:7" x14ac:dyDescent="0.25">
      <c r="A23" s="1"/>
      <c r="B23" s="119" t="s">
        <v>10</v>
      </c>
      <c r="C23" s="120"/>
      <c r="D23" s="121"/>
      <c r="E23" s="9">
        <f>-E22*'Fane 5. Individuelt eff. krav'!G9</f>
        <v>0</v>
      </c>
      <c r="F23" s="14" t="s">
        <v>3</v>
      </c>
      <c r="G23" s="1"/>
    </row>
    <row r="24" spans="1:7" x14ac:dyDescent="0.25">
      <c r="A24" s="1"/>
      <c r="B24" s="119" t="s">
        <v>24</v>
      </c>
      <c r="C24" s="120"/>
      <c r="D24" s="121"/>
      <c r="E24" s="9">
        <f>-E22*'Fane 15. Nøgletal'!C31</f>
        <v>0</v>
      </c>
      <c r="F24" s="14" t="s">
        <v>3</v>
      </c>
      <c r="G24" s="1"/>
    </row>
    <row r="25" spans="1:7" x14ac:dyDescent="0.25">
      <c r="A25" s="1"/>
      <c r="B25" s="125" t="s">
        <v>158</v>
      </c>
      <c r="C25" s="126"/>
      <c r="D25" s="127"/>
      <c r="E25" s="12">
        <f>SUM(E22:E24)*(1+'Fane 15. Nøgletal'!C15)^4</f>
        <v>0</v>
      </c>
      <c r="F25" s="13" t="s">
        <v>3</v>
      </c>
      <c r="G25" s="1"/>
    </row>
    <row r="26" spans="1:7" x14ac:dyDescent="0.25">
      <c r="A26" s="1"/>
      <c r="B26" s="1"/>
      <c r="C26" s="1"/>
      <c r="D26" s="1"/>
      <c r="E26" s="1"/>
      <c r="F26" s="1"/>
      <c r="G26" s="1"/>
    </row>
    <row r="27" spans="1:7" ht="15" customHeight="1" x14ac:dyDescent="0.25">
      <c r="A27" s="1"/>
      <c r="B27" s="125" t="s">
        <v>215</v>
      </c>
      <c r="C27" s="126"/>
      <c r="D27" s="126"/>
      <c r="E27" s="126"/>
      <c r="F27" s="127"/>
      <c r="G27" s="1"/>
    </row>
    <row r="28" spans="1:7" ht="14.25" customHeight="1" x14ac:dyDescent="0.25">
      <c r="A28" s="1"/>
      <c r="B28" s="155" t="s">
        <v>226</v>
      </c>
      <c r="C28" s="156"/>
      <c r="D28" s="157"/>
      <c r="E28" s="9">
        <v>0</v>
      </c>
      <c r="F28" s="14" t="s">
        <v>3</v>
      </c>
      <c r="G28" s="1"/>
    </row>
    <row r="29" spans="1:7" x14ac:dyDescent="0.25">
      <c r="A29" s="1"/>
      <c r="B29" s="119" t="s">
        <v>10</v>
      </c>
      <c r="C29" s="120"/>
      <c r="D29" s="121"/>
      <c r="E29" s="9">
        <f>-E28*'Fane 5. Individuelt eff. krav'!G9</f>
        <v>0</v>
      </c>
      <c r="F29" s="14" t="s">
        <v>3</v>
      </c>
      <c r="G29" s="1"/>
    </row>
    <row r="30" spans="1:7" x14ac:dyDescent="0.25">
      <c r="A30" s="1"/>
      <c r="B30" s="119" t="s">
        <v>24</v>
      </c>
      <c r="C30" s="120"/>
      <c r="D30" s="121"/>
      <c r="E30" s="9">
        <f>-E28*'Fane 15. Nøgletal'!C31</f>
        <v>0</v>
      </c>
      <c r="F30" s="14" t="s">
        <v>3</v>
      </c>
      <c r="G30" s="1"/>
    </row>
    <row r="31" spans="1:7" x14ac:dyDescent="0.25">
      <c r="A31" s="1"/>
      <c r="B31" s="125" t="s">
        <v>216</v>
      </c>
      <c r="C31" s="126"/>
      <c r="D31" s="12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Wc8zDjH+JlIW7q1PzNNW/L9VhjRzBdzqEODOCFjK7ZHFN+0x1E55rsDCBhQ9kuI1OeJekfcksFPLL43sdw4uA==" saltValue="is00i0re4YKZCf6a+Wri9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261</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132</v>
      </c>
      <c r="C8" s="126"/>
      <c r="D8" s="126"/>
      <c r="E8" s="126"/>
      <c r="F8" s="127"/>
      <c r="G8" s="1"/>
    </row>
    <row r="9" spans="1:7" ht="15" customHeight="1" x14ac:dyDescent="0.25">
      <c r="A9" s="1"/>
      <c r="B9" s="31" t="s">
        <v>133</v>
      </c>
      <c r="C9" s="31" t="s">
        <v>11</v>
      </c>
      <c r="D9" s="32"/>
      <c r="E9" s="31" t="s">
        <v>31</v>
      </c>
      <c r="F9" s="32"/>
      <c r="G9" s="1"/>
    </row>
    <row r="10" spans="1:7" x14ac:dyDescent="0.25">
      <c r="A10" s="1"/>
      <c r="B10" s="24" t="s">
        <v>275</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iySzBalhT4Uod6UM08JHYiACTLdb22PggYYfQpcUcq1Yzc/VtWOb8+Yw0LgE+oPoIiUCsrrZPHZXFUK0QS+Hg==" saltValue="qJpd93y07FkEY4LggzPAl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262</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93</v>
      </c>
      <c r="C9" s="126"/>
      <c r="D9" s="126"/>
      <c r="E9" s="126"/>
      <c r="F9" s="127"/>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64"/>
      <c r="C16" s="64"/>
      <c r="D16" s="64"/>
      <c r="E16" s="64"/>
      <c r="F16" s="64"/>
      <c r="G16" s="1"/>
    </row>
    <row r="17" spans="1:7" x14ac:dyDescent="0.25">
      <c r="A17" s="1"/>
      <c r="B17" s="65"/>
      <c r="C17" s="68"/>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4"/>
      <c r="C22" s="64"/>
      <c r="D22" s="64"/>
      <c r="E22" s="64"/>
      <c r="F22" s="64"/>
      <c r="G22" s="1"/>
    </row>
    <row r="23" spans="1:7" x14ac:dyDescent="0.25">
      <c r="A23" s="1"/>
      <c r="B23" s="65"/>
      <c r="C23" s="68"/>
      <c r="D23" s="67"/>
      <c r="E23" s="68"/>
      <c r="F23" s="67"/>
      <c r="G23" s="1"/>
    </row>
    <row r="24" spans="1:7" x14ac:dyDescent="0.25">
      <c r="A24" s="1"/>
      <c r="B24" s="69"/>
      <c r="C24" s="70"/>
      <c r="D24" s="71"/>
      <c r="E24" s="70"/>
      <c r="F24" s="71"/>
      <c r="G24" s="1"/>
    </row>
    <row r="25" spans="1:7" x14ac:dyDescent="0.25">
      <c r="A25" s="1"/>
      <c r="B25" s="69"/>
      <c r="C25" s="70"/>
      <c r="D25" s="71"/>
      <c r="E25" s="70"/>
      <c r="F25" s="71"/>
      <c r="G25" s="1"/>
    </row>
    <row r="26" spans="1:7" x14ac:dyDescent="0.25">
      <c r="A26" s="1"/>
      <c r="B26" s="62"/>
      <c r="C26" s="62"/>
      <c r="D26" s="62"/>
      <c r="E26" s="62"/>
      <c r="F26" s="62"/>
      <c r="G26" s="1"/>
    </row>
    <row r="27" spans="1:7" x14ac:dyDescent="0.25">
      <c r="A27" s="1"/>
      <c r="B27" s="160"/>
      <c r="C27" s="160"/>
      <c r="D27" s="160"/>
      <c r="E27" s="160"/>
      <c r="F27" s="160"/>
      <c r="G27" s="1"/>
    </row>
    <row r="28" spans="1:7" x14ac:dyDescent="0.25">
      <c r="A28" s="1"/>
      <c r="B28" s="64"/>
      <c r="C28" s="64"/>
      <c r="D28" s="64"/>
      <c r="E28" s="64"/>
      <c r="F28" s="64"/>
      <c r="G28" s="1"/>
    </row>
    <row r="29" spans="1:7" x14ac:dyDescent="0.25">
      <c r="A29" s="1"/>
      <c r="B29" s="65"/>
      <c r="C29" s="68"/>
      <c r="D29" s="67"/>
      <c r="E29" s="68"/>
      <c r="F29" s="67"/>
      <c r="G29" s="1"/>
    </row>
    <row r="30" spans="1:7" x14ac:dyDescent="0.25">
      <c r="A30" s="1"/>
      <c r="B30" s="69"/>
      <c r="C30" s="70"/>
      <c r="D30" s="71"/>
      <c r="E30" s="70"/>
      <c r="F30" s="71"/>
      <c r="G30" s="1"/>
    </row>
    <row r="31" spans="1:7" x14ac:dyDescent="0.25">
      <c r="A31" s="1"/>
      <c r="B31" s="69"/>
      <c r="C31" s="70"/>
      <c r="D31" s="71"/>
      <c r="E31" s="70"/>
      <c r="F31" s="7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jUnlaa2Aq1MzGE+BT9HtHgv7rQpZEBnKKmcYGbmr3YuVKaDv4b/+Ab+lZOViYpeH7Z1Wv7BYTL1cCC1ZdACC/w==" saltValue="dr7QBesQVS7EHFcE2hAqi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75009418.173492014</v>
      </c>
      <c r="D9" s="8" t="s">
        <v>3</v>
      </c>
      <c r="E9" s="1"/>
    </row>
    <row r="10" spans="1:5" ht="17.25" customHeight="1" x14ac:dyDescent="0.25">
      <c r="A10" s="1"/>
      <c r="B10" s="81" t="s">
        <v>39</v>
      </c>
      <c r="C10" s="7">
        <f>'Fane 11.1. Varige tillæg'!C15</f>
        <v>220354.96800000002</v>
      </c>
      <c r="D10" s="8" t="s">
        <v>3</v>
      </c>
      <c r="E10" s="1"/>
    </row>
    <row r="11" spans="1:5" ht="17.25" customHeight="1" x14ac:dyDescent="0.25">
      <c r="A11" s="1"/>
      <c r="B11" s="81" t="s">
        <v>40</v>
      </c>
      <c r="C11" s="9">
        <f>'Fane 11.1. Varige tillæg'!E15</f>
        <v>765717.46200000006</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5">
        <f>SUM(C9)*'Fane 15. Nøgletal'!C14+SUM(C10:C15)*'Fane 15. Nøgletal'!C15</f>
        <v>282635.25848052365</v>
      </c>
      <c r="D16" s="8" t="s">
        <v>3</v>
      </c>
      <c r="E16" s="1"/>
    </row>
    <row r="17" spans="1:5" ht="17.25" customHeight="1" x14ac:dyDescent="0.25">
      <c r="A17" s="1"/>
      <c r="B17" s="81" t="s">
        <v>10</v>
      </c>
      <c r="C17" s="45">
        <f>-SUM(C9,C10:C16)*'Fane 5. Individuelt eff. krav'!G9</f>
        <v>-1525562.5172394505</v>
      </c>
      <c r="D17" s="8" t="s">
        <v>3</v>
      </c>
      <c r="E17" s="1"/>
    </row>
    <row r="18" spans="1:5" ht="17.25" customHeight="1" x14ac:dyDescent="0.25">
      <c r="A18" s="1"/>
      <c r="B18" s="81" t="s">
        <v>24</v>
      </c>
      <c r="C18" s="45">
        <f>-'Fane 4.1. Gen. krav - drift'!G45</f>
        <v>-484058.20328693878</v>
      </c>
      <c r="D18" s="8" t="s">
        <v>3</v>
      </c>
      <c r="E18" s="1"/>
    </row>
    <row r="19" spans="1:5" ht="17.25" customHeight="1" x14ac:dyDescent="0.25">
      <c r="A19" s="1"/>
      <c r="B19" s="81" t="s">
        <v>25</v>
      </c>
      <c r="C19" s="45">
        <f>-'Fane 4.2. Gen. krav - anlæg'!G43</f>
        <v>-786865.35140110634</v>
      </c>
      <c r="D19" s="8" t="s">
        <v>3</v>
      </c>
      <c r="E19" s="51"/>
    </row>
    <row r="20" spans="1:5" ht="17.25" customHeight="1" x14ac:dyDescent="0.25">
      <c r="A20" s="1"/>
      <c r="B20" s="87" t="s">
        <v>21</v>
      </c>
      <c r="C20" s="10">
        <f>SUM(C9:C19)</f>
        <v>73481639.790045023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omk.'!C15+'Fane 6. Ikke-påvirkelige omk.'!C19+'Fane 6. Ikke-påvirkelige omk.'!C27</f>
        <v>2030454.1916568002</v>
      </c>
      <c r="D22" s="11" t="s">
        <v>3</v>
      </c>
      <c r="E22" s="1"/>
    </row>
    <row r="23" spans="1:5" ht="15" customHeight="1" x14ac:dyDescent="0.25">
      <c r="A23" s="1"/>
      <c r="B23" s="33" t="s">
        <v>86</v>
      </c>
      <c r="C23" s="28"/>
      <c r="D23" s="19"/>
      <c r="E23" s="1"/>
    </row>
    <row r="24" spans="1:5" ht="15" customHeight="1" x14ac:dyDescent="0.25">
      <c r="A24" s="1"/>
      <c r="B24" s="87" t="s">
        <v>86</v>
      </c>
      <c r="C24" s="10">
        <f>'Fane 12. Periodevise driftsomk.'!E13</f>
        <v>0</v>
      </c>
      <c r="D24" s="11" t="s">
        <v>3</v>
      </c>
      <c r="E24" s="1"/>
    </row>
    <row r="25" spans="1:5" ht="15" customHeight="1" x14ac:dyDescent="0.25">
      <c r="A25" s="1"/>
      <c r="B25" s="48" t="s">
        <v>85</v>
      </c>
      <c r="C25" s="46"/>
      <c r="D25" s="47"/>
      <c r="E25" s="1"/>
    </row>
    <row r="26" spans="1:5" ht="15" customHeight="1" x14ac:dyDescent="0.25">
      <c r="A26" s="1"/>
      <c r="B26" s="81" t="s">
        <v>233</v>
      </c>
      <c r="C26" s="9">
        <f>'Fane 11.2. Engangstillæg'!C12</f>
        <v>1279897.5619670402</v>
      </c>
      <c r="D26" s="8" t="s">
        <v>3</v>
      </c>
      <c r="E26" s="1"/>
    </row>
    <row r="27" spans="1:5" ht="15" customHeight="1" x14ac:dyDescent="0.25">
      <c r="A27" s="1"/>
      <c r="B27" s="81" t="s">
        <v>82</v>
      </c>
      <c r="C27" s="9">
        <f>'Fane 11.2. Engangstillæg'!E12</f>
        <v>0</v>
      </c>
      <c r="D27" s="8" t="s">
        <v>3</v>
      </c>
      <c r="E27" s="1"/>
    </row>
    <row r="28" spans="1:5" ht="15" customHeight="1" x14ac:dyDescent="0.25">
      <c r="A28" s="1"/>
      <c r="B28" s="81" t="s">
        <v>240</v>
      </c>
      <c r="C28" s="9">
        <f>-C26*('Fane 15. Nøgletal'!C31+'Fane 5. Individuelt eff. krav'!G9)</f>
        <v>-51195.902478681608</v>
      </c>
      <c r="D28" s="8" t="s">
        <v>3</v>
      </c>
      <c r="E28" s="1"/>
    </row>
    <row r="29" spans="1:5" ht="15" customHeight="1" x14ac:dyDescent="0.25">
      <c r="A29" s="1"/>
      <c r="B29" s="81" t="s">
        <v>241</v>
      </c>
      <c r="C29" s="9">
        <f>-C27*('Fane 15. Nøgletal'!C26+'Fane 5. Individuelt eff. krav'!G9)</f>
        <v>0</v>
      </c>
      <c r="D29" s="8" t="s">
        <v>3</v>
      </c>
      <c r="E29" s="1"/>
    </row>
    <row r="30" spans="1:5" ht="15" customHeight="1" x14ac:dyDescent="0.25">
      <c r="A30" s="1"/>
      <c r="B30" s="93" t="s">
        <v>87</v>
      </c>
      <c r="C30" s="10">
        <f>SUM(C26:C29)</f>
        <v>1228701.6594883585</v>
      </c>
      <c r="D30" s="11" t="s">
        <v>3</v>
      </c>
      <c r="E30" s="1"/>
    </row>
    <row r="31" spans="1:5" x14ac:dyDescent="0.25">
      <c r="A31" s="1"/>
      <c r="B31" s="33" t="s">
        <v>143</v>
      </c>
      <c r="C31" s="28"/>
      <c r="D31" s="19"/>
      <c r="E31" s="1"/>
    </row>
    <row r="32" spans="1:5" x14ac:dyDescent="0.25">
      <c r="A32" s="1"/>
      <c r="B32" s="31" t="s">
        <v>181</v>
      </c>
      <c r="C32" s="10">
        <f>'Fane 7. Kontrol af ØR2021'!E28</f>
        <v>0</v>
      </c>
      <c r="D32" s="11" t="s">
        <v>3</v>
      </c>
      <c r="E32" s="1"/>
    </row>
    <row r="33" spans="1:5" ht="15" customHeight="1" x14ac:dyDescent="0.25">
      <c r="A33" s="1"/>
      <c r="B33" s="33" t="s">
        <v>186</v>
      </c>
      <c r="C33" s="28"/>
      <c r="D33" s="19"/>
      <c r="E33" s="1"/>
    </row>
    <row r="34" spans="1:5" x14ac:dyDescent="0.25">
      <c r="A34" s="1"/>
      <c r="B34" s="31" t="s">
        <v>186</v>
      </c>
      <c r="C34" s="10">
        <f>'Fane 9. Korrektion af ØR2021'!E17</f>
        <v>0</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60">
        <f>SUM(C34,C32,C24,C30,C22,C20,C36)</f>
        <v>76740795.641190186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D/Xa7jx8sXIo+GGH8Txg4zUI3io6oz7iLjl6hCAxLmt+Mg3jKlP5dIc/wcVbL5FnbJuOWNvm7M39fPKYChqtQ==" saltValue="nupKrrpyQ/DrcKQbdARFd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3" t="s">
        <v>263</v>
      </c>
      <c r="C3" s="133"/>
      <c r="D3" s="1"/>
    </row>
    <row r="4" spans="1:4" ht="25.5" customHeight="1" x14ac:dyDescent="0.25">
      <c r="A4" s="1"/>
      <c r="B4" s="133"/>
      <c r="C4" s="13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3">
        <v>3.3E-3</v>
      </c>
      <c r="D14" s="1"/>
    </row>
    <row r="15" spans="1:4" x14ac:dyDescent="0.25">
      <c r="A15" s="1"/>
      <c r="B15" s="34" t="s">
        <v>225</v>
      </c>
      <c r="C15" s="74">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217</v>
      </c>
      <c r="C26" s="75">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2"/>
      <c r="B50" s="52"/>
      <c r="C50" s="52"/>
      <c r="D50" s="52"/>
    </row>
    <row r="51" spans="1:4" x14ac:dyDescent="0.25">
      <c r="A51" s="52"/>
      <c r="B51" s="52"/>
      <c r="C51" s="52"/>
      <c r="D51" s="52"/>
    </row>
    <row r="52" spans="1:4" x14ac:dyDescent="0.25">
      <c r="A52" s="52"/>
      <c r="B52" s="52"/>
      <c r="C52" s="52"/>
      <c r="D52" s="52"/>
    </row>
    <row r="53" spans="1:4" x14ac:dyDescent="0.25">
      <c r="A53" s="52"/>
      <c r="B53" s="52"/>
      <c r="C53" s="52"/>
      <c r="D53" s="52"/>
    </row>
  </sheetData>
  <sheetProtection algorithmName="SHA-512" hashValue="7/gwl9DRDZSALQned19X6qmCSo2cYr4VaEwsTBABLqyOABYsIUOIr7fphTj5HoI9qz3lyKJAQd9StHr3KwN/Nw==" saltValue="O8lyAj2AqJ/7shNUcYjT4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73481639.790045023</v>
      </c>
      <c r="D9" s="8" t="s">
        <v>3</v>
      </c>
      <c r="E9" s="1"/>
    </row>
    <row r="10" spans="1:5" ht="15" customHeight="1" x14ac:dyDescent="0.25">
      <c r="A10" s="1"/>
      <c r="B10" s="26" t="s">
        <v>19</v>
      </c>
      <c r="C10" s="7">
        <f>SUM(C9:C9)*'Fane 15. Nøgletal'!C15</f>
        <v>2615946.3765256028</v>
      </c>
      <c r="D10" s="8" t="s">
        <v>3</v>
      </c>
      <c r="E10" s="1"/>
    </row>
    <row r="11" spans="1:5" ht="15" customHeight="1" x14ac:dyDescent="0.25">
      <c r="A11" s="1"/>
      <c r="B11" s="26" t="s">
        <v>10</v>
      </c>
      <c r="C11" s="9">
        <f>-SUM(C9:C10)*'Fane 5. Individuelt eff. krav'!G9</f>
        <v>-1521951.7233314123</v>
      </c>
      <c r="D11" s="8" t="s">
        <v>3</v>
      </c>
      <c r="E11" s="1"/>
    </row>
    <row r="12" spans="1:5" ht="15" customHeight="1" x14ac:dyDescent="0.25">
      <c r="A12" s="1"/>
      <c r="B12" s="26" t="s">
        <v>24</v>
      </c>
      <c r="C12" s="9">
        <f>-'Fane 4.1. Gen. krav - drift'!G53</f>
        <v>-491264.86181747477</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74084369.581421733</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Nøgletal'!C15)+'Fane 6. Ikke-påvirkelige omk.'!C20+'Fane 6. Ikke-påvirkelige omk.'!C28</f>
        <v>2102738.3608797826</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driftsomk.'!E19</f>
        <v>0</v>
      </c>
      <c r="D18" s="11" t="s">
        <v>3</v>
      </c>
      <c r="E18" s="1"/>
    </row>
    <row r="19" spans="1:5"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Skattesagen'!G13</f>
        <v>0</v>
      </c>
      <c r="D22" s="11" t="s">
        <v>3</v>
      </c>
      <c r="E22" s="1"/>
    </row>
    <row r="23" spans="1:5" x14ac:dyDescent="0.25">
      <c r="A23" s="1"/>
      <c r="B23" s="33" t="s">
        <v>128</v>
      </c>
      <c r="C23" s="12">
        <f>SUM(C14,C16,C18,C20,C22)</f>
        <v>76187107.942301512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n5KFRjTV0TQJEx9jPc0H7k54rg54s9NcipkkQ58CIFX6+1Rjp1IU+eZZlo0D1pfcUv/mV9+GTQzreHNwVaFNw==" saltValue="dUDT35FFYknYo/A/KftLb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74084369.581421733</v>
      </c>
      <c r="D9" s="8" t="s">
        <v>3</v>
      </c>
      <c r="E9" s="1"/>
    </row>
    <row r="10" spans="1:5" ht="15" customHeight="1" x14ac:dyDescent="0.25">
      <c r="A10" s="1"/>
      <c r="B10" s="26" t="s">
        <v>19</v>
      </c>
      <c r="C10" s="7">
        <f>SUM(C9:C9)*'Fane 15. Nøgletal'!C15</f>
        <v>2637403.5570986136</v>
      </c>
      <c r="D10" s="8" t="s">
        <v>3</v>
      </c>
      <c r="E10" s="1"/>
    </row>
    <row r="11" spans="1:5" ht="15" customHeight="1" x14ac:dyDescent="0.25">
      <c r="A11" s="1"/>
      <c r="B11" s="26" t="s">
        <v>10</v>
      </c>
      <c r="C11" s="9">
        <f>-SUM(C9:C10)*'Fane 5. Individuelt eff. krav'!G9</f>
        <v>-1534435.4627704069</v>
      </c>
      <c r="D11" s="8" t="s">
        <v>3</v>
      </c>
      <c r="E11" s="1"/>
    </row>
    <row r="12" spans="1:5" ht="15" customHeight="1" x14ac:dyDescent="0.25">
      <c r="A12" s="1"/>
      <c r="B12" s="26" t="s">
        <v>24</v>
      </c>
      <c r="C12" s="9">
        <f>-'Fane 4.1. Gen. krav - drift'!G58</f>
        <v>-498578.81308021332</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74688758.862669736</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Nøgletal'!C15)^2+'Fane 6. Ikke-påvirkelige omk.'!C21+'Fane 6. Ikke-påvirkelige omk.'!C29</f>
        <v>2177595.8465271029</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driftsomk.'!E25</f>
        <v>0</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76866354.709196836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zMapHwZs8pLRWqkMvNCRig/DAmbsWoonvGQceFs1h4Tph+S5zguPCPMuZhmEEysypH/6rtr2Ek5ksylpTYN/2w==" saltValue="x0GfQ4/qmu7XyeIAkk5vY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74688758.862669736</v>
      </c>
      <c r="D9" s="8" t="s">
        <v>3</v>
      </c>
      <c r="E9" s="1"/>
    </row>
    <row r="10" spans="1:5" ht="15" customHeight="1" x14ac:dyDescent="0.25">
      <c r="A10" s="1"/>
      <c r="B10" s="26" t="s">
        <v>19</v>
      </c>
      <c r="C10" s="7">
        <f>SUM(C9:C9)*'Fane 15. Nøgletal'!C15</f>
        <v>2658919.8155110427</v>
      </c>
      <c r="D10" s="8" t="s">
        <v>3</v>
      </c>
      <c r="E10" s="1"/>
    </row>
    <row r="11" spans="1:5" ht="15" customHeight="1" x14ac:dyDescent="0.25">
      <c r="A11" s="1"/>
      <c r="B11" s="26" t="s">
        <v>10</v>
      </c>
      <c r="C11" s="9">
        <f>-SUM(C9:C10)*'Fane 5. Individuelt eff. krav'!G9</f>
        <v>-1546953.5735636158</v>
      </c>
      <c r="D11" s="8" t="s">
        <v>3</v>
      </c>
      <c r="E11" s="1"/>
    </row>
    <row r="12" spans="1:5" ht="15" customHeight="1" x14ac:dyDescent="0.25">
      <c r="A12" s="1"/>
      <c r="B12" s="26" t="s">
        <v>24</v>
      </c>
      <c r="C12" s="9">
        <f>-'Fane 4.1. Gen. krav - drift'!G63</f>
        <v>-506001.65444935154</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75294723.450167805</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Nøgletal'!C15)^3+'Fane 6. Ikke-påvirkelige omk.'!C22+'Fane 6. Ikke-påvirkelige omk.'!C30</f>
        <v>2255118.2586634676</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driftsomk.'!E31</f>
        <v>0</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191</v>
      </c>
      <c r="C23" s="12">
        <f>SUM(C14,C16,C18,C20,C22)</f>
        <v>77549841.708831266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L2YA8MbKKFY9jfIA8qA5T9dv6XkDZgzSB1aL4o/T1Q9e3sBk4L9Ay9YNX1jYBvgggseTBj/F6QUQP8cOiW7y7A==" saltValue="QSRKIXJwghZkO4Ck7VVlU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192</v>
      </c>
      <c r="C3" s="133"/>
      <c r="D3" s="133"/>
      <c r="E3" s="133"/>
      <c r="F3" s="133"/>
      <c r="G3" s="1"/>
    </row>
    <row r="4" spans="1:7" ht="29.2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28" t="s">
        <v>193</v>
      </c>
      <c r="C9" s="129"/>
      <c r="D9" s="130"/>
      <c r="E9" s="7">
        <v>77496893.396926478</v>
      </c>
      <c r="F9" s="8" t="s">
        <v>3</v>
      </c>
      <c r="G9" s="1"/>
    </row>
    <row r="10" spans="1:7" ht="15" customHeight="1" x14ac:dyDescent="0.25">
      <c r="A10" s="1"/>
      <c r="B10" s="119" t="s">
        <v>39</v>
      </c>
      <c r="C10" s="120"/>
      <c r="D10" s="121"/>
      <c r="E10" s="7">
        <v>0</v>
      </c>
      <c r="F10" s="8" t="s">
        <v>3</v>
      </c>
      <c r="G10" s="1"/>
    </row>
    <row r="11" spans="1:7" ht="15" customHeight="1" x14ac:dyDescent="0.25">
      <c r="A11" s="1"/>
      <c r="B11" s="119" t="s">
        <v>40</v>
      </c>
      <c r="C11" s="120"/>
      <c r="D11" s="121"/>
      <c r="E11" s="9">
        <v>97196.694100000008</v>
      </c>
      <c r="F11" s="8" t="s">
        <v>3</v>
      </c>
      <c r="G11" s="1"/>
    </row>
    <row r="12" spans="1:7" ht="15" customHeight="1" x14ac:dyDescent="0.25">
      <c r="A12" s="1"/>
      <c r="B12" s="119" t="s">
        <v>27</v>
      </c>
      <c r="C12" s="120"/>
      <c r="D12" s="121"/>
      <c r="E12" s="9">
        <v>0</v>
      </c>
      <c r="F12" s="8" t="s">
        <v>3</v>
      </c>
      <c r="G12" s="1"/>
    </row>
    <row r="13" spans="1:7" ht="15" customHeight="1" x14ac:dyDescent="0.25">
      <c r="A13" s="1"/>
      <c r="B13" s="128" t="s">
        <v>26</v>
      </c>
      <c r="C13" s="129"/>
      <c r="D13" s="130"/>
      <c r="E13" s="9">
        <v>0</v>
      </c>
      <c r="F13" s="8" t="s">
        <v>3</v>
      </c>
      <c r="G13" s="1"/>
    </row>
    <row r="14" spans="1:7" ht="15" customHeight="1" x14ac:dyDescent="0.25">
      <c r="A14" s="1"/>
      <c r="B14" s="128" t="s">
        <v>29</v>
      </c>
      <c r="C14" s="129"/>
      <c r="D14" s="130"/>
      <c r="E14" s="9">
        <v>0</v>
      </c>
      <c r="F14" s="8" t="s">
        <v>3</v>
      </c>
      <c r="G14" s="1"/>
    </row>
    <row r="15" spans="1:7" ht="15" customHeight="1" x14ac:dyDescent="0.25">
      <c r="A15" s="1"/>
      <c r="B15" s="128" t="s">
        <v>28</v>
      </c>
      <c r="C15" s="129"/>
      <c r="D15" s="130"/>
      <c r="E15" s="9">
        <v>0</v>
      </c>
      <c r="F15" s="8" t="s">
        <v>3</v>
      </c>
      <c r="G15" s="1"/>
    </row>
    <row r="16" spans="1:7" ht="15" customHeight="1" x14ac:dyDescent="0.25">
      <c r="A16" s="1"/>
      <c r="B16" s="128" t="s">
        <v>19</v>
      </c>
      <c r="C16" s="129"/>
      <c r="D16" s="130"/>
      <c r="E16" s="9">
        <f>SUM(E9:E15)*'Fane 15. Nøgletal'!C14</f>
        <v>256060.49730038739</v>
      </c>
      <c r="F16" s="8" t="s">
        <v>3</v>
      </c>
      <c r="G16" s="1"/>
    </row>
    <row r="17" spans="1:7" ht="15" customHeight="1" x14ac:dyDescent="0.25">
      <c r="A17" s="1"/>
      <c r="B17" s="128" t="s">
        <v>10</v>
      </c>
      <c r="C17" s="129"/>
      <c r="D17" s="130"/>
      <c r="E17" s="9">
        <v>-1557003.0117665376</v>
      </c>
      <c r="F17" s="8" t="s">
        <v>3</v>
      </c>
      <c r="G17" s="1"/>
    </row>
    <row r="18" spans="1:7" ht="15" customHeight="1" x14ac:dyDescent="0.25">
      <c r="A18" s="1"/>
      <c r="B18" s="128" t="s">
        <v>24</v>
      </c>
      <c r="C18" s="129"/>
      <c r="D18" s="130"/>
      <c r="E18" s="9">
        <f>-'Fane 4.1. Gen. krav - drift'!G39</f>
        <v>-487670.49470392877</v>
      </c>
      <c r="F18" s="8" t="s">
        <v>3</v>
      </c>
      <c r="G18" s="1"/>
    </row>
    <row r="19" spans="1:7" ht="15" customHeight="1" x14ac:dyDescent="0.25">
      <c r="A19" s="1"/>
      <c r="B19" s="128" t="s">
        <v>25</v>
      </c>
      <c r="C19" s="129"/>
      <c r="D19" s="130"/>
      <c r="E19" s="9">
        <f>-'Fane 4.2. Gen. krav - anlæg'!G37</f>
        <v>-796058.90836438118</v>
      </c>
      <c r="F19" s="8" t="s">
        <v>3</v>
      </c>
      <c r="G19" s="1"/>
    </row>
    <row r="20" spans="1:7" ht="15" customHeight="1" x14ac:dyDescent="0.25">
      <c r="A20" s="1"/>
      <c r="B20" s="57" t="s">
        <v>21</v>
      </c>
      <c r="C20" s="88"/>
      <c r="D20" s="94"/>
      <c r="E20" s="54">
        <f>SUM(E9:E19)</f>
        <v>75009418.173492014</v>
      </c>
      <c r="F20" s="56" t="s">
        <v>3</v>
      </c>
      <c r="G20" s="1"/>
    </row>
    <row r="21" spans="1:7" ht="15" customHeight="1" x14ac:dyDescent="0.25">
      <c r="A21" s="1"/>
      <c r="B21" s="33" t="s">
        <v>12</v>
      </c>
      <c r="C21" s="28"/>
      <c r="D21" s="28"/>
      <c r="E21" s="28"/>
      <c r="F21" s="19"/>
      <c r="G21" s="1"/>
    </row>
    <row r="22" spans="1:7" ht="15" customHeight="1" x14ac:dyDescent="0.25">
      <c r="A22" s="1"/>
      <c r="B22" s="122" t="s">
        <v>12</v>
      </c>
      <c r="C22" s="123"/>
      <c r="D22" s="124"/>
      <c r="E22" s="10">
        <v>2032472.2066603603</v>
      </c>
      <c r="F22" s="11" t="s">
        <v>3</v>
      </c>
      <c r="G22" s="1"/>
    </row>
    <row r="23" spans="1:7" ht="15" customHeight="1" x14ac:dyDescent="0.25">
      <c r="A23" s="1"/>
      <c r="B23" s="125" t="s">
        <v>86</v>
      </c>
      <c r="C23" s="126"/>
      <c r="D23" s="127"/>
      <c r="E23" s="28"/>
      <c r="F23" s="28"/>
      <c r="G23" s="1"/>
    </row>
    <row r="24" spans="1:7" ht="15" customHeight="1" x14ac:dyDescent="0.25">
      <c r="A24" s="1"/>
      <c r="B24" s="87" t="s">
        <v>86</v>
      </c>
      <c r="C24" s="38"/>
      <c r="D24" s="39"/>
      <c r="E24" s="10">
        <v>0</v>
      </c>
      <c r="F24" s="11" t="s">
        <v>3</v>
      </c>
      <c r="G24" s="1"/>
    </row>
    <row r="25" spans="1:7" x14ac:dyDescent="0.25">
      <c r="A25" s="1"/>
      <c r="B25" s="33" t="s">
        <v>85</v>
      </c>
      <c r="C25" s="28"/>
      <c r="D25" s="28"/>
      <c r="E25" s="28"/>
      <c r="F25" s="19"/>
      <c r="G25" s="1"/>
    </row>
    <row r="26" spans="1:7" ht="15" customHeight="1" x14ac:dyDescent="0.25">
      <c r="A26" s="1"/>
      <c r="B26" s="119" t="s">
        <v>81</v>
      </c>
      <c r="C26" s="120"/>
      <c r="D26" s="121"/>
      <c r="E26" s="9">
        <v>0</v>
      </c>
      <c r="F26" s="8" t="s">
        <v>3</v>
      </c>
      <c r="G26" s="1"/>
    </row>
    <row r="27" spans="1:7" ht="15" customHeight="1" x14ac:dyDescent="0.25">
      <c r="A27" s="1"/>
      <c r="B27" s="119" t="s">
        <v>82</v>
      </c>
      <c r="C27" s="120"/>
      <c r="D27" s="120"/>
      <c r="E27" s="9">
        <v>0</v>
      </c>
      <c r="F27" s="8" t="s">
        <v>3</v>
      </c>
      <c r="G27" s="1"/>
    </row>
    <row r="28" spans="1:7" ht="15" customHeight="1" x14ac:dyDescent="0.25">
      <c r="A28" s="1"/>
      <c r="B28" s="131" t="s">
        <v>87</v>
      </c>
      <c r="C28" s="132"/>
      <c r="D28" s="132"/>
      <c r="E28" s="40">
        <v>0</v>
      </c>
      <c r="F28" s="11" t="s">
        <v>3</v>
      </c>
      <c r="G28" s="1"/>
    </row>
    <row r="29" spans="1:7" ht="15" customHeight="1" x14ac:dyDescent="0.25">
      <c r="A29" s="1"/>
      <c r="B29" s="33" t="s">
        <v>143</v>
      </c>
      <c r="C29" s="33"/>
      <c r="D29" s="33"/>
      <c r="E29" s="28"/>
      <c r="F29" s="28"/>
      <c r="G29" s="1"/>
    </row>
    <row r="30" spans="1:7" ht="15" customHeight="1" x14ac:dyDescent="0.25">
      <c r="A30" s="1"/>
      <c r="B30" s="122" t="s">
        <v>142</v>
      </c>
      <c r="C30" s="123"/>
      <c r="D30" s="123"/>
      <c r="E30" s="40">
        <v>0</v>
      </c>
      <c r="F30" s="11" t="s">
        <v>3</v>
      </c>
      <c r="G30" s="1"/>
    </row>
    <row r="31" spans="1:7" x14ac:dyDescent="0.25">
      <c r="A31" s="1"/>
      <c r="B31" s="33" t="s">
        <v>123</v>
      </c>
      <c r="C31" s="28"/>
      <c r="D31" s="28"/>
      <c r="E31" s="28"/>
      <c r="F31" s="28"/>
      <c r="G31" s="1"/>
    </row>
    <row r="32" spans="1:7" ht="15.4" customHeight="1" x14ac:dyDescent="0.25">
      <c r="A32" s="1"/>
      <c r="B32" s="122" t="s">
        <v>123</v>
      </c>
      <c r="C32" s="123"/>
      <c r="D32" s="124"/>
      <c r="E32" s="10">
        <v>0</v>
      </c>
      <c r="F32" s="11" t="s">
        <v>3</v>
      </c>
      <c r="G32" s="1"/>
    </row>
    <row r="33" spans="1:7" ht="15.4" customHeight="1" x14ac:dyDescent="0.25">
      <c r="A33" s="1"/>
      <c r="B33" s="125" t="s">
        <v>175</v>
      </c>
      <c r="C33" s="126"/>
      <c r="D33" s="126"/>
      <c r="E33" s="126"/>
      <c r="F33" s="127"/>
      <c r="G33" s="1"/>
    </row>
    <row r="34" spans="1:7" ht="15.4" customHeight="1" x14ac:dyDescent="0.25">
      <c r="A34" s="1"/>
      <c r="B34" s="93" t="s">
        <v>176</v>
      </c>
      <c r="C34" s="10"/>
      <c r="D34" s="11"/>
      <c r="E34" s="10">
        <f>'Fane 8. Skattesagen'!G11</f>
        <v>0</v>
      </c>
      <c r="F34" s="11" t="s">
        <v>3</v>
      </c>
      <c r="G34" s="1"/>
    </row>
    <row r="35" spans="1:7" x14ac:dyDescent="0.25">
      <c r="A35" s="1"/>
      <c r="B35" s="58" t="s">
        <v>220</v>
      </c>
      <c r="C35" s="59"/>
      <c r="D35" s="19"/>
      <c r="E35" s="46">
        <f>SUM(E32,E30,E28,E24,E22,E20,E34)</f>
        <v>77041890.380152375</v>
      </c>
      <c r="F35" s="55" t="s">
        <v>3</v>
      </c>
      <c r="G35" s="1"/>
    </row>
    <row r="36" spans="1:7" ht="27" customHeight="1" x14ac:dyDescent="0.25">
      <c r="A36" s="1"/>
      <c r="B36" s="128" t="s">
        <v>224</v>
      </c>
      <c r="C36" s="129"/>
      <c r="D36" s="129"/>
      <c r="E36" s="129"/>
      <c r="F36" s="13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sheetData>
  <sheetProtection algorithmName="SHA-512" hashValue="dwViJeheeGzKXKtRtzOhs4b08Gs2vM4hkXc742hU8jZjsGmL08UZty5hAWiWL31Hs64v+ea31Y/hzoLYKB4Hng==" saltValue="cVlcptDlpcMUrfpbXDKgs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33" t="s">
        <v>109</v>
      </c>
      <c r="C2" s="133"/>
      <c r="D2" s="133"/>
      <c r="E2" s="133"/>
      <c r="F2" s="133"/>
      <c r="G2" s="133"/>
      <c r="H2" s="133"/>
      <c r="I2" s="1"/>
    </row>
    <row r="3" spans="1:9" ht="28.5" customHeight="1" x14ac:dyDescent="0.25">
      <c r="A3" s="1"/>
      <c r="B3" s="133"/>
      <c r="C3" s="133"/>
      <c r="D3" s="133"/>
      <c r="E3" s="133"/>
      <c r="F3" s="133"/>
      <c r="G3" s="133"/>
      <c r="H3" s="133"/>
      <c r="I3" s="1"/>
    </row>
    <row r="4" spans="1:9" x14ac:dyDescent="0.25">
      <c r="A4" s="1"/>
      <c r="B4" s="125" t="s">
        <v>52</v>
      </c>
      <c r="C4" s="126"/>
      <c r="D4" s="126"/>
      <c r="E4" s="126"/>
      <c r="F4" s="126"/>
      <c r="G4" s="126"/>
      <c r="H4" s="127"/>
      <c r="I4" s="1"/>
    </row>
    <row r="5" spans="1:9" x14ac:dyDescent="0.25">
      <c r="A5" s="1"/>
      <c r="B5" s="134" t="s">
        <v>41</v>
      </c>
      <c r="C5" s="135"/>
      <c r="D5" s="135"/>
      <c r="E5" s="135"/>
      <c r="F5" s="136"/>
      <c r="G5" s="23">
        <v>24975927.192255393</v>
      </c>
      <c r="H5" s="14" t="s">
        <v>3</v>
      </c>
      <c r="I5" s="1"/>
    </row>
    <row r="6" spans="1:9" x14ac:dyDescent="0.25">
      <c r="A6" s="1"/>
      <c r="B6" s="128" t="s">
        <v>120</v>
      </c>
      <c r="C6" s="129"/>
      <c r="D6" s="129"/>
      <c r="E6" s="129"/>
      <c r="F6" s="130"/>
      <c r="G6" s="9">
        <v>0</v>
      </c>
      <c r="H6" s="14" t="s">
        <v>3</v>
      </c>
      <c r="I6" s="1"/>
    </row>
    <row r="7" spans="1:9" x14ac:dyDescent="0.25">
      <c r="A7" s="1"/>
      <c r="B7" s="134" t="s">
        <v>42</v>
      </c>
      <c r="C7" s="135"/>
      <c r="D7" s="135"/>
      <c r="E7" s="135"/>
      <c r="F7" s="136"/>
      <c r="G7" s="23">
        <f>SUM(G5:G6)*'Fane 15. Nøgletal'!C31</f>
        <v>499518.54384510784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5" t="s">
        <v>53</v>
      </c>
      <c r="C10" s="126"/>
      <c r="D10" s="126"/>
      <c r="E10" s="126"/>
      <c r="F10" s="126"/>
      <c r="G10" s="126"/>
      <c r="H10" s="127"/>
      <c r="I10" s="1"/>
    </row>
    <row r="11" spans="1:9" x14ac:dyDescent="0.25">
      <c r="A11" s="1"/>
      <c r="B11" s="134" t="s">
        <v>43</v>
      </c>
      <c r="C11" s="135"/>
      <c r="D11" s="135"/>
      <c r="E11" s="135"/>
      <c r="F11" s="136"/>
      <c r="G11" s="23">
        <f>(G5-G7)*(1+'Fane 15. Nøgletal'!C10)</f>
        <v>24904745.799757466</v>
      </c>
      <c r="H11" s="14" t="s">
        <v>3</v>
      </c>
      <c r="I11" s="1"/>
    </row>
    <row r="12" spans="1:9" ht="15" customHeight="1" x14ac:dyDescent="0.25">
      <c r="A12" s="1"/>
      <c r="B12" s="134" t="s">
        <v>121</v>
      </c>
      <c r="C12" s="135"/>
      <c r="D12" s="135"/>
      <c r="E12" s="135"/>
      <c r="F12" s="136"/>
      <c r="G12" s="9">
        <v>0</v>
      </c>
      <c r="H12" s="14" t="s">
        <v>3</v>
      </c>
      <c r="I12" s="1"/>
    </row>
    <row r="13" spans="1:9" x14ac:dyDescent="0.25">
      <c r="A13" s="1"/>
      <c r="B13" s="128" t="s">
        <v>118</v>
      </c>
      <c r="C13" s="129"/>
      <c r="D13" s="129"/>
      <c r="E13" s="129"/>
      <c r="F13" s="130"/>
      <c r="G13" s="9">
        <v>0</v>
      </c>
      <c r="H13" s="14" t="s">
        <v>3</v>
      </c>
      <c r="I13" s="1"/>
    </row>
    <row r="14" spans="1:9" x14ac:dyDescent="0.25">
      <c r="A14" s="1"/>
      <c r="B14" s="137" t="s">
        <v>44</v>
      </c>
      <c r="C14" s="138"/>
      <c r="D14" s="138"/>
      <c r="E14" s="138"/>
      <c r="F14" s="139"/>
      <c r="G14" s="9">
        <v>0</v>
      </c>
      <c r="H14" s="14" t="s">
        <v>3</v>
      </c>
      <c r="I14" s="1"/>
    </row>
    <row r="15" spans="1:9" x14ac:dyDescent="0.25">
      <c r="A15" s="1"/>
      <c r="B15" s="134" t="s">
        <v>45</v>
      </c>
      <c r="C15" s="135"/>
      <c r="D15" s="135"/>
      <c r="E15" s="135"/>
      <c r="F15" s="136"/>
      <c r="G15" s="23">
        <f>SUM(G11:G14)*'Fane 15. Nøgletal'!C31</f>
        <v>498094.91599514935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5" t="s">
        <v>54</v>
      </c>
      <c r="C18" s="126"/>
      <c r="D18" s="126"/>
      <c r="E18" s="126"/>
      <c r="F18" s="126"/>
      <c r="G18" s="126"/>
      <c r="H18" s="127"/>
      <c r="I18" s="1"/>
    </row>
    <row r="19" spans="1:9" x14ac:dyDescent="0.25">
      <c r="A19" s="1"/>
      <c r="B19" s="134" t="s">
        <v>46</v>
      </c>
      <c r="C19" s="135"/>
      <c r="D19" s="135"/>
      <c r="E19" s="135"/>
      <c r="F19" s="136"/>
      <c r="G19" s="23">
        <f>(SUM(G11:G12,G14)-(G15))*(1+'Fane 15. Nøgletal'!C10)</f>
        <v>24833767.274228156</v>
      </c>
      <c r="H19" s="14" t="s">
        <v>3</v>
      </c>
      <c r="I19" s="1"/>
    </row>
    <row r="20" spans="1:9" x14ac:dyDescent="0.25">
      <c r="A20" s="1"/>
      <c r="B20" s="137" t="s">
        <v>47</v>
      </c>
      <c r="C20" s="138"/>
      <c r="D20" s="138"/>
      <c r="E20" s="138"/>
      <c r="F20" s="139"/>
      <c r="G20" s="9">
        <v>0</v>
      </c>
      <c r="H20" s="14" t="s">
        <v>3</v>
      </c>
      <c r="I20" s="1"/>
    </row>
    <row r="21" spans="1:9" x14ac:dyDescent="0.25">
      <c r="A21" s="1"/>
      <c r="B21" s="134" t="s">
        <v>48</v>
      </c>
      <c r="C21" s="135"/>
      <c r="D21" s="135"/>
      <c r="E21" s="135"/>
      <c r="F21" s="136"/>
      <c r="G21" s="23">
        <f>SUM(G19:G20)*'Fane 15. Nøgletal'!C31</f>
        <v>496675.34548456315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5" t="s">
        <v>55</v>
      </c>
      <c r="C24" s="126"/>
      <c r="D24" s="126"/>
      <c r="E24" s="126"/>
      <c r="F24" s="126"/>
      <c r="G24" s="126"/>
      <c r="H24" s="127"/>
      <c r="I24" s="1"/>
    </row>
    <row r="25" spans="1:9" x14ac:dyDescent="0.25">
      <c r="A25" s="1"/>
      <c r="B25" s="134" t="s">
        <v>49</v>
      </c>
      <c r="C25" s="135"/>
      <c r="D25" s="135"/>
      <c r="E25" s="135"/>
      <c r="F25" s="136"/>
      <c r="G25" s="23">
        <f>(G19+G20-G21)*(1+'Fane 15. Nøgletal'!C12)</f>
        <v>24816532.639739845</v>
      </c>
      <c r="H25" s="14" t="s">
        <v>3</v>
      </c>
      <c r="I25" s="1"/>
    </row>
    <row r="26" spans="1:9" x14ac:dyDescent="0.25">
      <c r="A26" s="1"/>
      <c r="B26" s="137" t="s">
        <v>50</v>
      </c>
      <c r="C26" s="138"/>
      <c r="D26" s="138"/>
      <c r="E26" s="138"/>
      <c r="F26" s="139"/>
      <c r="G26" s="9">
        <v>0</v>
      </c>
      <c r="H26" s="14" t="s">
        <v>3</v>
      </c>
      <c r="I26" s="1"/>
    </row>
    <row r="27" spans="1:9" x14ac:dyDescent="0.25">
      <c r="A27" s="1"/>
      <c r="B27" s="134" t="s">
        <v>51</v>
      </c>
      <c r="C27" s="135"/>
      <c r="D27" s="135"/>
      <c r="E27" s="135"/>
      <c r="F27" s="136"/>
      <c r="G27" s="23">
        <f>(G25+G26)*'Fane 15. Nøgletal'!C31</f>
        <v>496330.65279479692</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5" t="s">
        <v>58</v>
      </c>
      <c r="C30" s="126"/>
      <c r="D30" s="126"/>
      <c r="E30" s="126"/>
      <c r="F30" s="126"/>
      <c r="G30" s="126"/>
      <c r="H30" s="127"/>
      <c r="I30" s="1"/>
    </row>
    <row r="31" spans="1:9" x14ac:dyDescent="0.25">
      <c r="A31" s="1"/>
      <c r="B31" s="134" t="s">
        <v>59</v>
      </c>
      <c r="C31" s="135"/>
      <c r="D31" s="135"/>
      <c r="E31" s="135"/>
      <c r="F31" s="136"/>
      <c r="G31" s="23">
        <f>(G25+G26-G27)*(1+'Fane 15. Nøgletal'!C12)</f>
        <v>24799309.966087867</v>
      </c>
      <c r="H31" s="14" t="s">
        <v>3</v>
      </c>
      <c r="I31" s="1"/>
    </row>
    <row r="32" spans="1:9" x14ac:dyDescent="0.25">
      <c r="A32" s="1"/>
      <c r="B32" s="134" t="s">
        <v>137</v>
      </c>
      <c r="C32" s="135"/>
      <c r="D32" s="135"/>
      <c r="E32" s="135"/>
      <c r="F32" s="136"/>
      <c r="G32" s="23">
        <v>0</v>
      </c>
      <c r="H32" s="14" t="s">
        <v>3</v>
      </c>
      <c r="I32" s="1"/>
    </row>
    <row r="33" spans="1:9" x14ac:dyDescent="0.25">
      <c r="A33" s="1"/>
      <c r="B33" s="134" t="s">
        <v>60</v>
      </c>
      <c r="C33" s="135"/>
      <c r="D33" s="135"/>
      <c r="E33" s="135"/>
      <c r="F33" s="136"/>
      <c r="G33" s="23">
        <f>(G31+G32)*'Fane 15. Nøgletal'!C31</f>
        <v>495986.19932175736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5" t="s">
        <v>160</v>
      </c>
      <c r="C36" s="126"/>
      <c r="D36" s="126"/>
      <c r="E36" s="126"/>
      <c r="F36" s="126"/>
      <c r="G36" s="126"/>
      <c r="H36" s="127"/>
      <c r="I36" s="1"/>
    </row>
    <row r="37" spans="1:9" x14ac:dyDescent="0.25">
      <c r="A37" s="1"/>
      <c r="B37" s="134" t="s">
        <v>79</v>
      </c>
      <c r="C37" s="135"/>
      <c r="D37" s="135"/>
      <c r="E37" s="135"/>
      <c r="F37" s="136"/>
      <c r="G37" s="23">
        <f>(G31+G32-G33)*(1+'Fane 15. Nøgletal'!C14)</f>
        <v>24383524.735196438</v>
      </c>
      <c r="H37" s="14" t="s">
        <v>3</v>
      </c>
      <c r="I37" s="1"/>
    </row>
    <row r="38" spans="1:9" x14ac:dyDescent="0.25">
      <c r="A38" s="1"/>
      <c r="B38" s="134" t="s">
        <v>164</v>
      </c>
      <c r="C38" s="135"/>
      <c r="D38" s="135"/>
      <c r="E38" s="135"/>
      <c r="F38" s="136"/>
      <c r="G38" s="23">
        <v>0</v>
      </c>
      <c r="H38" s="14" t="s">
        <v>3</v>
      </c>
      <c r="I38" s="1"/>
    </row>
    <row r="39" spans="1:9" x14ac:dyDescent="0.25">
      <c r="A39" s="1"/>
      <c r="B39" s="134" t="s">
        <v>162</v>
      </c>
      <c r="C39" s="135"/>
      <c r="D39" s="135"/>
      <c r="E39" s="135"/>
      <c r="F39" s="136"/>
      <c r="G39" s="23">
        <f>(G37+G38)*'Fane 15. Nøgletal'!C31</f>
        <v>487670.49470392877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5" t="s">
        <v>161</v>
      </c>
      <c r="C42" s="126"/>
      <c r="D42" s="126"/>
      <c r="E42" s="126"/>
      <c r="F42" s="126"/>
      <c r="G42" s="126"/>
      <c r="H42" s="127"/>
      <c r="I42" s="1"/>
    </row>
    <row r="43" spans="1:9" x14ac:dyDescent="0.25">
      <c r="A43" s="1"/>
      <c r="B43" s="134" t="s">
        <v>230</v>
      </c>
      <c r="C43" s="135"/>
      <c r="D43" s="135"/>
      <c r="E43" s="135"/>
      <c r="F43" s="136"/>
      <c r="G43" s="23">
        <f>(G37+G38-G39)*(1+'Fane 15. Nøgletal'!C14)</f>
        <v>23974710.559486136</v>
      </c>
      <c r="H43" s="14" t="s">
        <v>3</v>
      </c>
      <c r="I43" s="1"/>
    </row>
    <row r="44" spans="1:9" x14ac:dyDescent="0.25">
      <c r="A44" s="1"/>
      <c r="B44" s="140" t="s">
        <v>232</v>
      </c>
      <c r="C44" s="141"/>
      <c r="D44" s="141"/>
      <c r="E44" s="141"/>
      <c r="F44" s="142"/>
      <c r="G44" s="49">
        <f>('Fane 2.1. Økonomisk ramme 2023'!C10+'Fane 2.1. Økonomisk ramme 2023'!C12+'Fane 2.1. Økonomisk ramme 2023'!C14)*(1+'Fane 15. Nøgletal'!C15)</f>
        <v>228199.60486080003</v>
      </c>
      <c r="H44" s="14" t="s">
        <v>3</v>
      </c>
      <c r="I44" s="1"/>
    </row>
    <row r="45" spans="1:9" x14ac:dyDescent="0.25">
      <c r="A45" s="1"/>
      <c r="B45" s="134" t="s">
        <v>163</v>
      </c>
      <c r="C45" s="135"/>
      <c r="D45" s="135"/>
      <c r="E45" s="135"/>
      <c r="F45" s="136"/>
      <c r="G45" s="23">
        <f>SUM(G43:G44)*'Fane 15. Nøgletal'!C31</f>
        <v>484058.20328693878</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0"/>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5" t="s">
        <v>243</v>
      </c>
      <c r="C51" s="126"/>
      <c r="D51" s="126"/>
      <c r="E51" s="126"/>
      <c r="F51" s="126"/>
      <c r="G51" s="126"/>
      <c r="H51" s="127"/>
      <c r="I51" s="1"/>
    </row>
    <row r="52" spans="1:9" x14ac:dyDescent="0.25">
      <c r="A52" s="1"/>
      <c r="B52" s="134" t="s">
        <v>229</v>
      </c>
      <c r="C52" s="135"/>
      <c r="D52" s="135"/>
      <c r="E52" s="135"/>
      <c r="F52" s="136"/>
      <c r="G52" s="23">
        <f>(G43+G44-G45)*(1+'Fane 15. Nøgletal'!C15)</f>
        <v>24563243.090873737</v>
      </c>
      <c r="H52" s="14" t="s">
        <v>3</v>
      </c>
      <c r="I52" s="1"/>
    </row>
    <row r="53" spans="1:9" x14ac:dyDescent="0.25">
      <c r="A53" s="1"/>
      <c r="B53" s="134" t="s">
        <v>138</v>
      </c>
      <c r="C53" s="135"/>
      <c r="D53" s="135"/>
      <c r="E53" s="135"/>
      <c r="F53" s="136"/>
      <c r="G53" s="23">
        <f>(G52)*'Fane 15. Nøgletal'!C31</f>
        <v>491264.86181747477</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5" t="s">
        <v>150</v>
      </c>
      <c r="C56" s="126"/>
      <c r="D56" s="126"/>
      <c r="E56" s="126"/>
      <c r="F56" s="126"/>
      <c r="G56" s="126"/>
      <c r="H56" s="127"/>
      <c r="I56" s="1"/>
    </row>
    <row r="57" spans="1:9" x14ac:dyDescent="0.25">
      <c r="A57" s="1"/>
      <c r="B57" s="89" t="s">
        <v>151</v>
      </c>
      <c r="C57" s="90"/>
      <c r="D57" s="90"/>
      <c r="E57" s="90"/>
      <c r="F57" s="91"/>
      <c r="G57" s="23">
        <f>(G52-G53)*(1+'Fane 15. Nøgletal'!C15)</f>
        <v>24928940.654010665</v>
      </c>
      <c r="H57" s="14" t="s">
        <v>3</v>
      </c>
      <c r="I57" s="1"/>
    </row>
    <row r="58" spans="1:9" x14ac:dyDescent="0.25">
      <c r="A58" s="1"/>
      <c r="B58" s="89" t="s">
        <v>152</v>
      </c>
      <c r="C58" s="90"/>
      <c r="D58" s="90"/>
      <c r="E58" s="90"/>
      <c r="F58" s="91"/>
      <c r="G58" s="23">
        <f>(G57)*'Fane 15. Nøgletal'!C31</f>
        <v>498578.81308021332</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5" t="s">
        <v>194</v>
      </c>
      <c r="C61" s="126"/>
      <c r="D61" s="126"/>
      <c r="E61" s="126"/>
      <c r="F61" s="126"/>
      <c r="G61" s="126"/>
      <c r="H61" s="127"/>
      <c r="I61" s="1"/>
    </row>
    <row r="62" spans="1:9" x14ac:dyDescent="0.25">
      <c r="A62" s="1"/>
      <c r="B62" s="89" t="s">
        <v>195</v>
      </c>
      <c r="C62" s="90"/>
      <c r="D62" s="90"/>
      <c r="E62" s="90"/>
      <c r="F62" s="91"/>
      <c r="G62" s="23">
        <f>(G57-G58)*(1+'Fane 15. Nøgletal'!C15)</f>
        <v>25300082.722467575</v>
      </c>
      <c r="H62" s="14" t="s">
        <v>3</v>
      </c>
      <c r="I62" s="1"/>
    </row>
    <row r="63" spans="1:9" x14ac:dyDescent="0.25">
      <c r="A63" s="1"/>
      <c r="B63" s="89" t="s">
        <v>196</v>
      </c>
      <c r="C63" s="90"/>
      <c r="D63" s="90"/>
      <c r="E63" s="90"/>
      <c r="F63" s="91"/>
      <c r="G63" s="23">
        <f>(G62)*'Fane 15. Nøgletal'!C31</f>
        <v>506001.65444935154</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3"/>
    </row>
  </sheetData>
  <sheetProtection algorithmName="SHA-512" hashValue="nG2j/wUdnVG9UVC323NbjZ8Uw9CBBqubYNBejU8hk4lZL9qbcQiEsYtKhiakOXeW6xJi4NtABgVLPbWz+SqQVg==" saltValue="2ITWnVL6uBuFzkMAu5ezU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5" t="s">
        <v>56</v>
      </c>
      <c r="C4" s="126"/>
      <c r="D4" s="126"/>
      <c r="E4" s="126"/>
      <c r="F4" s="126"/>
      <c r="G4" s="126"/>
      <c r="H4" s="127"/>
      <c r="I4" s="1"/>
    </row>
    <row r="5" spans="1:9" x14ac:dyDescent="0.25">
      <c r="A5" s="1"/>
      <c r="B5" s="134" t="s">
        <v>61</v>
      </c>
      <c r="C5" s="135"/>
      <c r="D5" s="135"/>
      <c r="E5" s="135"/>
      <c r="F5" s="136"/>
      <c r="G5" s="23">
        <v>53379077.028547674</v>
      </c>
      <c r="H5" s="14" t="s">
        <v>3</v>
      </c>
      <c r="I5" s="1"/>
    </row>
    <row r="6" spans="1:9" x14ac:dyDescent="0.25">
      <c r="A6" s="1"/>
      <c r="B6" s="134" t="s">
        <v>57</v>
      </c>
      <c r="C6" s="135"/>
      <c r="D6" s="135"/>
      <c r="E6" s="135"/>
      <c r="F6" s="136"/>
      <c r="G6" s="23">
        <f>G5*'Fane 15. Nøgletal'!C20</f>
        <v>485749.60095978389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5" t="s">
        <v>62</v>
      </c>
      <c r="C9" s="126"/>
      <c r="D9" s="126"/>
      <c r="E9" s="126"/>
      <c r="F9" s="126"/>
      <c r="G9" s="126"/>
      <c r="H9" s="127"/>
      <c r="I9" s="1"/>
    </row>
    <row r="10" spans="1:9" x14ac:dyDescent="0.25">
      <c r="A10" s="1"/>
      <c r="B10" s="134" t="s">
        <v>63</v>
      </c>
      <c r="C10" s="135"/>
      <c r="D10" s="135"/>
      <c r="E10" s="135"/>
      <c r="F10" s="136"/>
      <c r="G10" s="23">
        <f>(G5-G6)*(1+'Fane 15. Nøgletal'!C10)</f>
        <v>53818960.657570682</v>
      </c>
      <c r="H10" s="14" t="s">
        <v>3</v>
      </c>
      <c r="I10" s="1"/>
    </row>
    <row r="11" spans="1:9" x14ac:dyDescent="0.25">
      <c r="A11" s="1"/>
      <c r="B11" s="134" t="s">
        <v>122</v>
      </c>
      <c r="C11" s="135"/>
      <c r="D11" s="135"/>
      <c r="E11" s="135"/>
      <c r="F11" s="136"/>
      <c r="G11" s="73">
        <v>781743.76804266428</v>
      </c>
      <c r="H11" s="14" t="s">
        <v>3</v>
      </c>
      <c r="I11" s="1"/>
    </row>
    <row r="12" spans="1:9" x14ac:dyDescent="0.25">
      <c r="A12" s="1"/>
      <c r="B12" s="137" t="s">
        <v>64</v>
      </c>
      <c r="C12" s="138"/>
      <c r="D12" s="138"/>
      <c r="E12" s="138"/>
      <c r="F12" s="139"/>
      <c r="G12" s="9">
        <v>0</v>
      </c>
      <c r="H12" s="14" t="s">
        <v>3</v>
      </c>
      <c r="I12" s="1"/>
    </row>
    <row r="13" spans="1:9" x14ac:dyDescent="0.25">
      <c r="A13" s="1"/>
      <c r="B13" s="134" t="s">
        <v>65</v>
      </c>
      <c r="C13" s="135"/>
      <c r="D13" s="135"/>
      <c r="E13" s="135"/>
      <c r="F13" s="136"/>
      <c r="G13" s="23">
        <f>SUM(G10:G12)*'Fane 15. Nøgletal'!C21</f>
        <v>966432.4683333562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5" t="s">
        <v>66</v>
      </c>
      <c r="C16" s="126"/>
      <c r="D16" s="126"/>
      <c r="E16" s="126"/>
      <c r="F16" s="126"/>
      <c r="G16" s="126"/>
      <c r="H16" s="127"/>
      <c r="I16" s="1"/>
    </row>
    <row r="17" spans="1:9" x14ac:dyDescent="0.25">
      <c r="A17" s="1"/>
      <c r="B17" s="134" t="s">
        <v>67</v>
      </c>
      <c r="C17" s="135"/>
      <c r="D17" s="135"/>
      <c r="E17" s="135"/>
      <c r="F17" s="136"/>
      <c r="G17" s="23">
        <f>(SUM(G10:G12)-G13)*(1+'Fane 15. Nøgletal'!C10)</f>
        <v>54572871.716532394</v>
      </c>
      <c r="H17" s="14" t="s">
        <v>3</v>
      </c>
      <c r="I17" s="1"/>
    </row>
    <row r="18" spans="1:9" x14ac:dyDescent="0.25">
      <c r="A18" s="1"/>
      <c r="B18" s="137" t="s">
        <v>68</v>
      </c>
      <c r="C18" s="138"/>
      <c r="D18" s="138"/>
      <c r="E18" s="138"/>
      <c r="F18" s="139"/>
      <c r="G18" s="23">
        <v>133298.80555704996</v>
      </c>
      <c r="H18" s="14" t="s">
        <v>3</v>
      </c>
      <c r="I18" s="1"/>
    </row>
    <row r="19" spans="1:9" x14ac:dyDescent="0.25">
      <c r="A19" s="1"/>
      <c r="B19" s="134" t="s">
        <v>69</v>
      </c>
      <c r="C19" s="135"/>
      <c r="D19" s="135"/>
      <c r="E19" s="135"/>
      <c r="F19" s="136"/>
      <c r="G19" s="23">
        <f>G17*'Fane 15. Nøgletal'!C21+G18*'Fane 15. Nøgletal'!C22</f>
        <v>967099.52899096976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5" t="s">
        <v>70</v>
      </c>
      <c r="C22" s="126"/>
      <c r="D22" s="126"/>
      <c r="E22" s="126"/>
      <c r="F22" s="126"/>
      <c r="G22" s="126"/>
      <c r="H22" s="127"/>
      <c r="I22" s="1"/>
    </row>
    <row r="23" spans="1:9" x14ac:dyDescent="0.25">
      <c r="A23" s="1"/>
      <c r="B23" s="134" t="s">
        <v>71</v>
      </c>
      <c r="C23" s="135"/>
      <c r="D23" s="135"/>
      <c r="E23" s="135"/>
      <c r="F23" s="136"/>
      <c r="G23" s="23">
        <f>(G17+G18-G19)*(1+'Fane 15. Nøgletal'!C12)</f>
        <v>54797730.69166252</v>
      </c>
      <c r="H23" s="14" t="s">
        <v>3</v>
      </c>
      <c r="I23" s="1"/>
    </row>
    <row r="24" spans="1:9" x14ac:dyDescent="0.25">
      <c r="A24" s="1"/>
      <c r="B24" s="137" t="s">
        <v>72</v>
      </c>
      <c r="C24" s="138"/>
      <c r="D24" s="138"/>
      <c r="E24" s="138"/>
      <c r="F24" s="139"/>
      <c r="G24" s="23">
        <v>96456.825988726516</v>
      </c>
      <c r="H24" s="14" t="s">
        <v>3</v>
      </c>
      <c r="I24" s="1"/>
    </row>
    <row r="25" spans="1:9" x14ac:dyDescent="0.25">
      <c r="A25" s="1"/>
      <c r="B25" s="134" t="s">
        <v>73</v>
      </c>
      <c r="C25" s="135"/>
      <c r="D25" s="135"/>
      <c r="E25" s="135"/>
      <c r="F25" s="136"/>
      <c r="G25" s="23">
        <f>(G23+G24)*'Fane 15. Nøgletal'!C23</f>
        <v>1558994.9255012954</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5" t="s">
        <v>74</v>
      </c>
      <c r="C28" s="126"/>
      <c r="D28" s="126"/>
      <c r="E28" s="126"/>
      <c r="F28" s="126"/>
      <c r="G28" s="126"/>
      <c r="H28" s="127"/>
      <c r="I28" s="1"/>
    </row>
    <row r="29" spans="1:9" x14ac:dyDescent="0.25">
      <c r="A29" s="1"/>
      <c r="B29" s="134" t="s">
        <v>75</v>
      </c>
      <c r="C29" s="135"/>
      <c r="D29" s="135"/>
      <c r="E29" s="135"/>
      <c r="F29" s="136"/>
      <c r="G29" s="23">
        <f>(G23+G24-G25)*(1+'Fane 15. Nøgletal'!C12)</f>
        <v>54385895.886215307</v>
      </c>
      <c r="H29" s="14" t="s">
        <v>3</v>
      </c>
      <c r="I29" s="1"/>
    </row>
    <row r="30" spans="1:9" x14ac:dyDescent="0.25">
      <c r="A30" s="1"/>
      <c r="B30" s="134" t="s">
        <v>139</v>
      </c>
      <c r="C30" s="135"/>
      <c r="D30" s="135"/>
      <c r="E30" s="135"/>
      <c r="F30" s="136"/>
      <c r="G30" s="23">
        <v>691326.62437608</v>
      </c>
      <c r="H30" s="14" t="s">
        <v>3</v>
      </c>
      <c r="I30" s="1"/>
    </row>
    <row r="31" spans="1:9" x14ac:dyDescent="0.25">
      <c r="A31" s="1"/>
      <c r="B31" s="134" t="s">
        <v>76</v>
      </c>
      <c r="C31" s="135"/>
      <c r="D31" s="135"/>
      <c r="E31" s="135"/>
      <c r="F31" s="136"/>
      <c r="G31" s="23">
        <f>G29*'Fane 15. Nøgletal'!C23+G30*'Fane 15. Nøgletal'!C24</f>
        <v>1563570.9253388571</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5" t="s">
        <v>165</v>
      </c>
      <c r="C34" s="126"/>
      <c r="D34" s="126"/>
      <c r="E34" s="126"/>
      <c r="F34" s="126"/>
      <c r="G34" s="126"/>
      <c r="H34" s="127"/>
      <c r="I34" s="1"/>
    </row>
    <row r="35" spans="1:9" x14ac:dyDescent="0.25">
      <c r="A35" s="1"/>
      <c r="B35" s="134" t="s">
        <v>78</v>
      </c>
      <c r="C35" s="135"/>
      <c r="D35" s="135"/>
      <c r="E35" s="135"/>
      <c r="F35" s="136"/>
      <c r="G35" s="23">
        <f>(G29+G30-G31)*(1+'Fane 15. Nøgletal'!C14)</f>
        <v>53690246.635483868</v>
      </c>
      <c r="H35" s="14" t="s">
        <v>3</v>
      </c>
      <c r="I35" s="1"/>
    </row>
    <row r="36" spans="1:9" x14ac:dyDescent="0.25">
      <c r="A36" s="1"/>
      <c r="B36" s="134" t="s">
        <v>167</v>
      </c>
      <c r="C36" s="135"/>
      <c r="D36" s="135"/>
      <c r="E36" s="135"/>
      <c r="F36" s="136"/>
      <c r="G36" s="23">
        <v>97517.443190530015</v>
      </c>
      <c r="H36" s="14" t="s">
        <v>3</v>
      </c>
      <c r="I36" s="1"/>
    </row>
    <row r="37" spans="1:9" x14ac:dyDescent="0.25">
      <c r="A37" s="1"/>
      <c r="B37" s="134" t="s">
        <v>166</v>
      </c>
      <c r="C37" s="135"/>
      <c r="D37" s="135"/>
      <c r="E37" s="135"/>
      <c r="F37" s="136"/>
      <c r="G37" s="23">
        <f>(G35+G36)*'Fane 15. Nøgletal'!C25</f>
        <v>796058.90836438118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5" t="s">
        <v>223</v>
      </c>
      <c r="C40" s="126"/>
      <c r="D40" s="126"/>
      <c r="E40" s="126"/>
      <c r="F40" s="126"/>
      <c r="G40" s="126"/>
      <c r="H40" s="127"/>
      <c r="I40" s="1"/>
    </row>
    <row r="41" spans="1:9" x14ac:dyDescent="0.25">
      <c r="A41" s="1"/>
      <c r="B41" s="134" t="s">
        <v>77</v>
      </c>
      <c r="C41" s="135"/>
      <c r="D41" s="135"/>
      <c r="E41" s="135"/>
      <c r="F41" s="136"/>
      <c r="G41" s="23">
        <f>(G35+G36-G37)*(1+'Fane 15. Nøgletal'!C14)</f>
        <v>53166577.797372051</v>
      </c>
      <c r="H41" s="14" t="s">
        <v>3</v>
      </c>
      <c r="I41" s="1"/>
    </row>
    <row r="42" spans="1:9" x14ac:dyDescent="0.25">
      <c r="A42" s="1"/>
      <c r="B42" s="44" t="s">
        <v>231</v>
      </c>
      <c r="C42" s="90"/>
      <c r="D42" s="90"/>
      <c r="E42" s="90"/>
      <c r="F42" s="91"/>
      <c r="G42" s="49">
        <f>('Fane 2.1. Økonomisk ramme 2023'!C11+'Fane 2.1. Økonomisk ramme 2023'!C13+'Fane 2.1. Økonomisk ramme 2023'!C15)*(1+'Fane 15. Nøgletal'!C15)</f>
        <v>792977.00364720006</v>
      </c>
      <c r="H42" s="14" t="s">
        <v>3</v>
      </c>
      <c r="I42" s="1"/>
    </row>
    <row r="43" spans="1:9" x14ac:dyDescent="0.25">
      <c r="A43" s="1"/>
      <c r="B43" s="134" t="s">
        <v>168</v>
      </c>
      <c r="C43" s="135"/>
      <c r="D43" s="135"/>
      <c r="E43" s="135"/>
      <c r="F43" s="136"/>
      <c r="G43" s="23">
        <f>(G41)*'Fane 15. Nøgletal'!C25+G42*'Fane 15. Nøgletal'!C26</f>
        <v>786865.35140110634</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5" t="s">
        <v>244</v>
      </c>
      <c r="C52" s="126"/>
      <c r="D52" s="126"/>
      <c r="E52" s="126"/>
      <c r="F52" s="126"/>
      <c r="G52" s="126"/>
      <c r="H52" s="127"/>
      <c r="I52" s="1"/>
    </row>
    <row r="53" spans="1:9" x14ac:dyDescent="0.25">
      <c r="A53" s="1"/>
      <c r="B53" s="134" t="s">
        <v>140</v>
      </c>
      <c r="C53" s="135"/>
      <c r="D53" s="135"/>
      <c r="E53" s="135"/>
      <c r="F53" s="136"/>
      <c r="G53" s="23">
        <f>(G41+G42-G43)*(1+'Fane 15. Nøgletal'!C15)</f>
        <v>55065637.194024555</v>
      </c>
      <c r="H53" s="14" t="s">
        <v>3</v>
      </c>
      <c r="I53" s="1"/>
    </row>
    <row r="54" spans="1:9" x14ac:dyDescent="0.25">
      <c r="A54" s="1"/>
      <c r="B54" s="134" t="s">
        <v>141</v>
      </c>
      <c r="C54" s="135"/>
      <c r="D54" s="135"/>
      <c r="E54" s="135"/>
      <c r="F54" s="136"/>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5" t="s">
        <v>153</v>
      </c>
      <c r="C57" s="126"/>
      <c r="D57" s="126"/>
      <c r="E57" s="126"/>
      <c r="F57" s="126"/>
      <c r="G57" s="126"/>
      <c r="H57" s="127"/>
      <c r="I57" s="1"/>
    </row>
    <row r="58" spans="1:9" x14ac:dyDescent="0.25">
      <c r="A58" s="1"/>
      <c r="B58" s="134" t="s">
        <v>173</v>
      </c>
      <c r="C58" s="135"/>
      <c r="D58" s="135"/>
      <c r="E58" s="135"/>
      <c r="F58" s="136"/>
      <c r="G58" s="23">
        <f>(G53-G54)*(1+'Fane 15. Nøgletal'!C15)</f>
        <v>57025973.878131837</v>
      </c>
      <c r="H58" s="14" t="s">
        <v>3</v>
      </c>
      <c r="I58" s="1"/>
    </row>
    <row r="59" spans="1:9" x14ac:dyDescent="0.25">
      <c r="A59" s="1"/>
      <c r="B59" s="134" t="s">
        <v>174</v>
      </c>
      <c r="C59" s="135"/>
      <c r="D59" s="135"/>
      <c r="E59" s="135"/>
      <c r="F59" s="136"/>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5" t="s">
        <v>197</v>
      </c>
      <c r="C62" s="126"/>
      <c r="D62" s="126"/>
      <c r="E62" s="126"/>
      <c r="F62" s="126"/>
      <c r="G62" s="126"/>
      <c r="H62" s="127"/>
      <c r="I62" s="1"/>
    </row>
    <row r="63" spans="1:9" x14ac:dyDescent="0.25">
      <c r="A63" s="1"/>
      <c r="B63" s="134" t="s">
        <v>198</v>
      </c>
      <c r="C63" s="135"/>
      <c r="D63" s="135"/>
      <c r="E63" s="135"/>
      <c r="F63" s="136"/>
      <c r="G63" s="23">
        <f>(G58-G59)*(1+'Fane 15. Nøgletal'!C15)</f>
        <v>59056098.548193336</v>
      </c>
      <c r="H63" s="14" t="s">
        <v>3</v>
      </c>
      <c r="I63" s="1"/>
    </row>
    <row r="64" spans="1:9" x14ac:dyDescent="0.25">
      <c r="A64" s="1"/>
      <c r="B64" s="134" t="s">
        <v>199</v>
      </c>
      <c r="C64" s="135"/>
      <c r="D64" s="135"/>
      <c r="E64" s="135"/>
      <c r="F64" s="136"/>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8SOcksKvo6zx7AFrK82DcqpRg1znp+AeSBeaWSwtqf3bzsbjOHDxxZ82qSUuV/ZBWQlqa9cXMjw4t2MWSwe85w==" saltValue="oQbZzhKaMK+asds5L5HAv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5" t="s">
        <v>10</v>
      </c>
      <c r="C8" s="126"/>
      <c r="D8" s="126"/>
      <c r="E8" s="126"/>
      <c r="F8" s="126"/>
      <c r="G8" s="126"/>
      <c r="H8" s="1"/>
    </row>
    <row r="9" spans="1:8" x14ac:dyDescent="0.25">
      <c r="A9" s="1"/>
      <c r="B9" s="134" t="s">
        <v>154</v>
      </c>
      <c r="C9" s="135"/>
      <c r="D9" s="135"/>
      <c r="E9" s="135"/>
      <c r="F9" s="136"/>
      <c r="G9" s="36">
        <v>0.02</v>
      </c>
      <c r="H9" s="1"/>
    </row>
    <row r="10" spans="1:8" x14ac:dyDescent="0.25">
      <c r="A10" s="1"/>
      <c r="B10" s="33"/>
      <c r="C10" s="28"/>
      <c r="D10" s="28"/>
      <c r="E10" s="28"/>
      <c r="F10" s="28"/>
      <c r="G10" s="28"/>
      <c r="H10" s="1"/>
    </row>
    <row r="11" spans="1:8" ht="29.25" customHeight="1" x14ac:dyDescent="0.25">
      <c r="A11" s="1"/>
      <c r="B11" s="145"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LdLPIKrGbkzNjN8bZAawdzjP6Gdx3o1I5QPQwe443hlQreB7G4WXefFswq08Fq88b5gtRVjxHL00yfEhuTPl1Q==" saltValue="vJ3YnggBiJCmJDYLFJD7o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2022-12-01T08:22:37Z</dcterms:modified>
</cp:coreProperties>
</file>