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Ærø Vand AS (S10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14" i="27" l="1"/>
  <c r="E34" i="32" l="1"/>
  <c r="E26" i="32"/>
  <c r="E18" i="32"/>
  <c r="E9" i="32"/>
  <c r="E39" i="32" s="1"/>
  <c r="E42" i="32" s="1"/>
  <c r="E40" i="32" l="1"/>
  <c r="E43" i="32" s="1"/>
  <c r="E24" i="15" s="1"/>
  <c r="E23" i="22"/>
  <c r="E23" i="15"/>
  <c r="E26" i="2"/>
  <c r="E27" i="2" l="1"/>
  <c r="E24" i="22"/>
  <c r="E10" i="11"/>
  <c r="E10" i="20" l="1"/>
  <c r="E11" i="20" s="1"/>
  <c r="E25" i="20" l="1"/>
  <c r="E20" i="20"/>
  <c r="E15" i="20"/>
  <c r="E17" i="40" l="1"/>
  <c r="E29" i="2" s="1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1" i="37" s="1"/>
  <c r="C12" i="37" s="1"/>
  <c r="G11" i="11"/>
  <c r="E11" i="21" l="1"/>
  <c r="C11" i="21"/>
  <c r="E11" i="29"/>
  <c r="C11" i="29"/>
  <c r="C14" i="19"/>
  <c r="C12" i="21" l="1"/>
  <c r="E12" i="21"/>
  <c r="C12" i="29"/>
  <c r="E12" i="29"/>
  <c r="E14" i="23"/>
  <c r="E15" i="22"/>
  <c r="E18" i="2"/>
  <c r="E15" i="15"/>
  <c r="E13" i="2" l="1"/>
  <c r="E12" i="2"/>
  <c r="E11" i="11" l="1"/>
  <c r="E10" i="37" s="1"/>
  <c r="E11" i="37" s="1"/>
  <c r="E12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<sst xmlns="http://schemas.openxmlformats.org/spreadsheetml/2006/main" count="502" uniqueCount="187">
  <si>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</si>
  <si>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</si>
  <si>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</si>
  <si>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</si>
  <si>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</si>
  <si>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</si>
  <si>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</si>
  <si>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</si>
  <si>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</si>
  <si>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</si>
  <si>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</si>
  <si>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</si>
  <si>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</si>
  <si>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</si>
  <si>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</si>
  <si>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</si>
  <si>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</si>
  <si>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</si>
  <si>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</si>
  <si>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</si>
  <si>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</si>
  <si>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</si>
  <si>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</si>
  <si>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</si>
  <si>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</si>
  <si>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</si>
  <si>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</si>
  <si>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</si>
  <si>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</si>
  <si>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</si>
  <si>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</si>
  <si>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</si>
  <si>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</si>
  <si>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</si>
  <si>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</si>
  <si>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</si>
  <si>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</si>
  <si>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</si>
  <si>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</si>
  <si>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</si>
  <si>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</si>
  <si>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</si>
  <si>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</si>
  <si>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</si>
  <si>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</si>
  <si>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</si>
  <si>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</si>
  <si>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</si>
  <si>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</si>
  <si>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</si>
  <si>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</si>
  <si>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</si>
  <si>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</si>
  <si>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</si>
  <si>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</si>
  <si>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</si>
  <si>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</si>
  <si>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</si>
  <si>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</si>
  <si>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</si>
  <si>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</si>
  <si>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</si>
  <si>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</si>
  <si>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</si>
  <si>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</si>
  <si>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</si>
  <si>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</si>
  <si>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</si>
  <si>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</si>
  <si>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</si>
  <si>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</si>
  <si>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</si>
  <si>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</si>
  <si>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</si>
  <si>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</si>
  <si>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</si>
  <si>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</si>
  <si>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</si>
  <si>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</si>
  <si>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</si>
  <si>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</si>
  <si>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</si>
  <si>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</si>
  <si>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</si>
  <si>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</si>
  <si>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</si>
  <si>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</si>
  <si>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</si>
  <si>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</si>
  <si>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</si>
  <si>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</si>
  <si>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</si>
  <si>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</si>
  <si>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</si>
  <si>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</si>
  <si>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</si>
  <si>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</si>
  <si>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</si>
  <si>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</si>
  <si>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</si>
  <si>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</si>
  <si>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</si>
  <si>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</si>
  <si>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</si>
  <si>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</si>
  <si>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</si>
  <si>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</si>
  <si>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</si>
  <si>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</si>
  <si>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</si>
  <si>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</si>
  <si>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</si>
  <si>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</si>
  <si>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</si>
  <si>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</si>
  <si>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</si>
  <si>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</si>
  <si>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</si>
  <si>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</si>
  <si>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</si>
  <si>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</si>
  <si>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</si>
  <si>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</si>
  <si>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</si>
  <si>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</si>
  <si>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</si>
  <si>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</si>
  <si>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</si>
  <si>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</si>
  <si>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</si>
  <si>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</si>
  <si>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</si>
  <si>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</si>
  <si>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</si>
  <si>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</si>
  <si>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</si>
  <si>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</si>
  <si>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</si>
  <si>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</si>
  <si>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</si>
  <si>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</si>
  <si>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</si>
  <si>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</si>
  <si>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</si>
  <si>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</si>
  <si>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</si>
  <si>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</si>
  <si>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</si>
  <si>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</si>
  <si>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</si>
  <si>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</si>
  <si>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</si>
  <si>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</si>
  <si>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</si>
  <si>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</si>
  <si>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</si>
  <si>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</si>
  <si>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</si>
  <si>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</si>
  <si>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</si>
  <si>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</si>
  <si>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</si>
  <si>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</si>
  <si>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</si>
  <si>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</si>
  <si>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</si>
  <si>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</si>
  <si>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</si>
  <si>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</si>
  <si>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</si>
  <si>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</si>
  <si>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</si>
  <si>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</si>
  <si>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</si>
  <si>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</si>
  <si>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</si>
  <si>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</si>
  <si>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</si>
  <si>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</si>
  <si>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</si>
  <si>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Spildevandsafgift</t>
  </si>
  <si>
    <t>Afgift til Forsyningssekretariatet</t>
  </si>
  <si>
    <t>Ejendomsskatter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</si>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</sst>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3" t="s">
        <v>163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105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16</v>
      </c>
      <c r="D14" s="58" t="s">
        <v>164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38</v>
      </c>
      <c r="D15" s="58" t="s">
        <v>165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39</v>
      </c>
      <c r="D16" s="58" t="s">
        <v>106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172</v>
      </c>
      <c r="D17" s="58" t="s">
        <v>107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55" t="s">
        <v>12</v>
      </c>
      <c r="E18" s="56"/>
      <c r="F18" s="56"/>
      <c r="G18" s="57"/>
      <c r="H18" s="1"/>
      <c r="I18" s="1"/>
    </row>
    <row r="19" spans="1:9" x14ac:dyDescent="0.45">
      <c r="A19" s="1"/>
      <c r="B19" s="1"/>
      <c r="C19" s="6" t="s">
        <v>8</v>
      </c>
      <c r="D19" s="49" t="s">
        <v>108</v>
      </c>
      <c r="E19" s="50"/>
      <c r="F19" s="50"/>
      <c r="G19" s="51"/>
      <c r="H19" s="1"/>
      <c r="I19" s="1"/>
    </row>
    <row r="20" spans="1:9" x14ac:dyDescent="0.45">
      <c r="A20" s="1"/>
      <c r="B20" s="1"/>
      <c r="C20" s="6" t="s">
        <v>93</v>
      </c>
      <c r="D20" s="49" t="s">
        <v>109</v>
      </c>
      <c r="E20" s="50"/>
      <c r="F20" s="50"/>
      <c r="G20" s="51"/>
      <c r="H20" s="1"/>
      <c r="I20" s="1"/>
    </row>
    <row r="21" spans="1:9" x14ac:dyDescent="0.45">
      <c r="A21" s="1"/>
      <c r="B21" s="1"/>
      <c r="C21" s="6" t="s">
        <v>51</v>
      </c>
      <c r="D21" s="49" t="s">
        <v>40</v>
      </c>
      <c r="E21" s="50"/>
      <c r="F21" s="50"/>
      <c r="G21" s="51"/>
      <c r="H21" s="1"/>
      <c r="I21" s="1"/>
    </row>
    <row r="22" spans="1:9" x14ac:dyDescent="0.45">
      <c r="A22" s="1"/>
      <c r="B22" s="1"/>
      <c r="C22" s="6" t="s">
        <v>94</v>
      </c>
      <c r="D22" s="49" t="s">
        <v>52</v>
      </c>
      <c r="E22" s="50"/>
      <c r="F22" s="50"/>
      <c r="G22" s="51"/>
      <c r="H22" s="1"/>
      <c r="I22" s="1"/>
    </row>
    <row r="23" spans="1:9" x14ac:dyDescent="0.45">
      <c r="A23" s="1"/>
      <c r="B23" s="1"/>
      <c r="C23" s="6" t="s">
        <v>95</v>
      </c>
      <c r="D23" s="49" t="s">
        <v>53</v>
      </c>
      <c r="E23" s="50"/>
      <c r="F23" s="50"/>
      <c r="G23" s="51"/>
      <c r="H23" s="1"/>
      <c r="I23" s="1"/>
    </row>
    <row r="24" spans="1:9" x14ac:dyDescent="0.45">
      <c r="A24" s="1"/>
      <c r="B24" s="1"/>
      <c r="C24" s="6" t="s">
        <v>9</v>
      </c>
      <c r="D24" s="49" t="s">
        <v>54</v>
      </c>
      <c r="E24" s="50"/>
      <c r="F24" s="50"/>
      <c r="G24" s="51"/>
      <c r="H24" s="1"/>
      <c r="I24" s="1"/>
    </row>
    <row r="25" spans="1:9" x14ac:dyDescent="0.45">
      <c r="A25" s="1"/>
      <c r="B25" s="1"/>
      <c r="C25" s="6" t="s">
        <v>70</v>
      </c>
      <c r="D25" s="49" t="s">
        <v>110</v>
      </c>
      <c r="E25" s="50"/>
      <c r="F25" s="50"/>
      <c r="G25" s="51"/>
      <c r="H25" s="1"/>
      <c r="I25" s="1"/>
    </row>
    <row r="26" spans="1:9" x14ac:dyDescent="0.45">
      <c r="A26" s="1"/>
      <c r="B26" s="1"/>
      <c r="C26" s="6" t="s">
        <v>96</v>
      </c>
      <c r="D26" s="49" t="s">
        <v>41</v>
      </c>
      <c r="E26" s="50"/>
      <c r="F26" s="50"/>
      <c r="G26" s="51"/>
      <c r="H26" s="1"/>
      <c r="I26" s="1"/>
    </row>
    <row r="27" spans="1:9" x14ac:dyDescent="0.45">
      <c r="A27" s="1"/>
      <c r="B27" s="1"/>
      <c r="C27" s="6" t="s">
        <v>15</v>
      </c>
      <c r="D27" s="52" t="s">
        <v>97</v>
      </c>
      <c r="E27" s="53"/>
      <c r="F27" s="53"/>
      <c r="G27" s="54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150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151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5"/>
      <c r="I9" s="1"/>
    </row>
    <row r="10" spans="1:9" x14ac:dyDescent="0.45">
      <c r="A10" s="1"/>
      <c r="B10" s="43" t="s">
        <v>186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152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89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153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4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131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/K0jqKuKZT/azihOOcoWVTGICIS8FIqoXPjsRl3XawlQCVm6AkCAd2/lp+Rp+QoWVPecW4P5QSimSF/HJOD9/g==" saltValue="dbIEgL0LDPf6YzMrCVlF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75</v>
      </c>
      <c r="C8" s="81"/>
      <c r="D8" s="81"/>
      <c r="E8" s="81"/>
      <c r="F8" s="82"/>
      <c r="G8" s="1"/>
    </row>
    <row r="9" spans="1:7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183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132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88</v>
      </c>
      <c r="C12" s="24">
        <f>-C11*'Fane 12. Nøgletal'!C18</f>
        <v>0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45">
      <c r="A13" s="1"/>
      <c r="B13" s="46" t="s">
        <v>78</v>
      </c>
      <c r="C13" s="10">
        <f>SUM(C11:C12)*(1+'Fane 12. Nøgletal'!C13)^2</f>
        <v>0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76</v>
      </c>
      <c r="C15" s="81"/>
      <c r="D15" s="81"/>
      <c r="E15" s="81"/>
      <c r="F15" s="82"/>
      <c r="G15" s="1"/>
    </row>
    <row r="16" spans="1:7" x14ac:dyDescent="0.45">
      <c r="A16" s="1"/>
      <c r="B16" s="36" t="s">
        <v>17</v>
      </c>
      <c r="C16" s="36" t="s">
        <v>11</v>
      </c>
      <c r="D16" s="37"/>
      <c r="E16" s="36" t="s">
        <v>32</v>
      </c>
      <c r="F16" s="45"/>
      <c r="G16" s="1"/>
    </row>
    <row r="17" spans="1:7" x14ac:dyDescent="0.45">
      <c r="A17" s="1"/>
      <c r="B17" s="20" t="s">
        <v>183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132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88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45">
      <c r="A20" s="1"/>
      <c r="B20" s="46" t="s">
        <v>145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77</v>
      </c>
      <c r="C22" s="81"/>
      <c r="D22" s="81"/>
      <c r="E22" s="81"/>
      <c r="F22" s="82"/>
      <c r="G22" s="1"/>
    </row>
    <row r="23" spans="1:7" x14ac:dyDescent="0.45">
      <c r="A23" s="1"/>
      <c r="B23" s="36" t="s">
        <v>17</v>
      </c>
      <c r="C23" s="36" t="s">
        <v>11</v>
      </c>
      <c r="D23" s="37"/>
      <c r="E23" s="36" t="s">
        <v>32</v>
      </c>
      <c r="F23" s="45"/>
      <c r="G23" s="1"/>
    </row>
    <row r="24" spans="1:7" x14ac:dyDescent="0.45">
      <c r="A24" s="1"/>
      <c r="B24" s="20" t="s">
        <v>183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132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88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45">
      <c r="A27" s="1"/>
      <c r="B27" s="46" t="s">
        <v>146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147</v>
      </c>
      <c r="C29" s="81"/>
      <c r="D29" s="81"/>
      <c r="E29" s="81"/>
      <c r="F29" s="82"/>
      <c r="G29" s="1"/>
    </row>
    <row r="30" spans="1:7" x14ac:dyDescent="0.45">
      <c r="A30" s="1"/>
      <c r="B30" s="36" t="s">
        <v>17</v>
      </c>
      <c r="C30" s="36" t="s">
        <v>11</v>
      </c>
      <c r="D30" s="37"/>
      <c r="E30" s="36" t="s">
        <v>32</v>
      </c>
      <c r="F30" s="45"/>
      <c r="G30" s="1"/>
    </row>
    <row r="31" spans="1:7" x14ac:dyDescent="0.45">
      <c r="A31" s="1"/>
      <c r="B31" s="20" t="s">
        <v>183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132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88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45">
      <c r="A34" s="1"/>
      <c r="B34" s="46" t="s">
        <v>148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pLo63bBA2kNlE6El5s/e59vCdV0sI+z1EKNONqMi/eHzo+VbVIEPqt9iq3eyNieCb630uL0JU/CLKk+cge2tA==" saltValue="ZgwcU82oPBXwOeKlPOp6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102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61</v>
      </c>
      <c r="C8" s="81"/>
      <c r="D8" s="81"/>
      <c r="E8" s="81"/>
      <c r="F8" s="82"/>
      <c r="G8" s="1"/>
    </row>
    <row r="9" spans="1:7" x14ac:dyDescent="0.45">
      <c r="A9" s="1"/>
      <c r="B9" s="90" t="s">
        <v>60</v>
      </c>
      <c r="C9" s="91"/>
      <c r="D9" s="92"/>
      <c r="E9" s="8">
        <v>0</v>
      </c>
      <c r="F9" s="12" t="s">
        <v>3</v>
      </c>
      <c r="G9" s="1"/>
    </row>
    <row r="10" spans="1:7" x14ac:dyDescent="0.45">
      <c r="A10" s="1"/>
      <c r="B10" s="74" t="s">
        <v>88</v>
      </c>
      <c r="C10" s="75"/>
      <c r="D10" s="76"/>
      <c r="E10" s="8">
        <f>-E9*'Fane 12. Nøgletal'!C18</f>
        <v>0</v>
      </c>
      <c r="F10" s="12" t="s">
        <v>3</v>
      </c>
      <c r="G10" s="1"/>
    </row>
    <row r="11" spans="1:7" x14ac:dyDescent="0.45">
      <c r="A11" s="1"/>
      <c r="B11" s="80" t="s">
        <v>64</v>
      </c>
      <c r="C11" s="81"/>
      <c r="D11" s="82"/>
      <c r="E11" s="10">
        <f>SUM(E9:E10)*(1+'Fane 12. Nøgletal'!C13)^2</f>
        <v>0</v>
      </c>
      <c r="F11" s="11" t="s">
        <v>3</v>
      </c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0" t="s">
        <v>62</v>
      </c>
      <c r="C13" s="81"/>
      <c r="D13" s="81"/>
      <c r="E13" s="81"/>
      <c r="F13" s="82"/>
      <c r="G13" s="1"/>
    </row>
    <row r="14" spans="1:7" x14ac:dyDescent="0.45">
      <c r="A14" s="1"/>
      <c r="B14" s="90" t="s">
        <v>133</v>
      </c>
      <c r="C14" s="91"/>
      <c r="D14" s="92"/>
      <c r="E14" s="8">
        <v>0</v>
      </c>
      <c r="F14" s="12" t="s">
        <v>3</v>
      </c>
      <c r="G14" s="1"/>
    </row>
    <row r="15" spans="1:7" x14ac:dyDescent="0.45">
      <c r="A15" s="1"/>
      <c r="B15" s="74" t="s">
        <v>88</v>
      </c>
      <c r="C15" s="75"/>
      <c r="D15" s="76"/>
      <c r="E15" s="8">
        <f>-E14*'Fane 12. Nøgletal'!C18</f>
        <v>0</v>
      </c>
      <c r="F15" s="12" t="s">
        <v>3</v>
      </c>
      <c r="G15" s="1"/>
    </row>
    <row r="16" spans="1:7" x14ac:dyDescent="0.45">
      <c r="A16" s="1"/>
      <c r="B16" s="80" t="s">
        <v>65</v>
      </c>
      <c r="C16" s="81"/>
      <c r="D16" s="82"/>
      <c r="E16" s="10">
        <f>SUM(E14:E15)*(1+'Fane 12. Nøgletal'!C13)^3</f>
        <v>0</v>
      </c>
      <c r="F16" s="1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80" t="s">
        <v>63</v>
      </c>
      <c r="C18" s="81"/>
      <c r="D18" s="81"/>
      <c r="E18" s="81"/>
      <c r="F18" s="82"/>
      <c r="G18" s="1"/>
    </row>
    <row r="19" spans="1:7" x14ac:dyDescent="0.45">
      <c r="A19" s="1"/>
      <c r="B19" s="90" t="s">
        <v>133</v>
      </c>
      <c r="C19" s="91"/>
      <c r="D19" s="92"/>
      <c r="E19" s="8">
        <v>0</v>
      </c>
      <c r="F19" s="12" t="s">
        <v>3</v>
      </c>
      <c r="G19" s="1"/>
    </row>
    <row r="20" spans="1:7" x14ac:dyDescent="0.45">
      <c r="A20" s="1"/>
      <c r="B20" s="74" t="s">
        <v>88</v>
      </c>
      <c r="C20" s="75"/>
      <c r="D20" s="76"/>
      <c r="E20" s="8">
        <f>-E19*'Fane 12. Nøgletal'!C18</f>
        <v>0</v>
      </c>
      <c r="F20" s="12" t="s">
        <v>3</v>
      </c>
      <c r="G20" s="1"/>
    </row>
    <row r="21" spans="1:7" x14ac:dyDescent="0.45">
      <c r="A21" s="1"/>
      <c r="B21" s="80" t="s">
        <v>66</v>
      </c>
      <c r="C21" s="81"/>
      <c r="D21" s="82"/>
      <c r="E21" s="10">
        <f>SUM(E19:E20)*(1+'Fane 12. Nøgletal'!C13)^4</f>
        <v>0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0" t="s">
        <v>134</v>
      </c>
      <c r="C23" s="81"/>
      <c r="D23" s="81"/>
      <c r="E23" s="81"/>
      <c r="F23" s="82"/>
      <c r="G23" s="1"/>
    </row>
    <row r="24" spans="1:7" ht="15" customHeight="1" x14ac:dyDescent="0.45">
      <c r="A24" s="1"/>
      <c r="B24" s="90" t="s">
        <v>133</v>
      </c>
      <c r="C24" s="91"/>
      <c r="D24" s="92"/>
      <c r="E24" s="8">
        <v>0</v>
      </c>
      <c r="F24" s="12" t="s">
        <v>3</v>
      </c>
      <c r="G24" s="1"/>
    </row>
    <row r="25" spans="1:7" x14ac:dyDescent="0.45">
      <c r="A25" s="1"/>
      <c r="B25" s="74" t="s">
        <v>88</v>
      </c>
      <c r="C25" s="75"/>
      <c r="D25" s="76"/>
      <c r="E25" s="8">
        <f>-E24*'Fane 12. Nøgletal'!C18</f>
        <v>0</v>
      </c>
      <c r="F25" s="12" t="s">
        <v>3</v>
      </c>
      <c r="G25" s="1"/>
    </row>
    <row r="26" spans="1:7" x14ac:dyDescent="0.45">
      <c r="A26" s="1"/>
      <c r="B26" s="80" t="s">
        <v>135</v>
      </c>
      <c r="C26" s="81"/>
      <c r="D26" s="82"/>
      <c r="E26" s="10">
        <f>SUM(E24:E25)*(1+'Fane 12. Nøgletal'!C13)^5</f>
        <v>0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2.5976562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136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137</v>
      </c>
      <c r="C8" s="81"/>
      <c r="D8" s="81"/>
      <c r="E8" s="81"/>
      <c r="F8" s="82"/>
      <c r="G8" s="1"/>
    </row>
    <row r="9" spans="1:7" ht="15" customHeight="1" x14ac:dyDescent="0.45">
      <c r="A9" s="1"/>
      <c r="B9" s="44" t="s">
        <v>138</v>
      </c>
      <c r="C9" s="93" t="s">
        <v>11</v>
      </c>
      <c r="D9" s="94"/>
      <c r="E9" s="93" t="s">
        <v>32</v>
      </c>
      <c r="F9" s="94"/>
      <c r="G9" s="1"/>
    </row>
    <row r="10" spans="1:7" x14ac:dyDescent="0.45">
      <c r="A10" s="1"/>
      <c r="B10" s="20" t="s">
        <v>184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139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140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92</v>
      </c>
      <c r="C3" s="66"/>
      <c r="D3" s="66"/>
      <c r="E3" s="66"/>
      <c r="F3" s="66"/>
      <c r="G3" s="1"/>
    </row>
    <row r="4" spans="1:7" ht="25.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68</v>
      </c>
      <c r="C8" s="81"/>
      <c r="D8" s="81"/>
      <c r="E8" s="81"/>
      <c r="F8" s="82"/>
      <c r="G8" s="1"/>
    </row>
    <row r="9" spans="1:7" ht="15" customHeight="1" x14ac:dyDescent="0.45">
      <c r="A9" s="1"/>
      <c r="B9" s="44" t="s">
        <v>18</v>
      </c>
      <c r="C9" s="44" t="s">
        <v>11</v>
      </c>
      <c r="D9" s="45"/>
      <c r="E9" s="44" t="s">
        <v>32</v>
      </c>
      <c r="F9" s="45"/>
      <c r="G9" s="1"/>
    </row>
    <row r="10" spans="1:7" x14ac:dyDescent="0.45">
      <c r="A10" s="1"/>
      <c r="B10" s="20" t="s">
        <v>185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67</v>
      </c>
      <c r="C14" s="81"/>
      <c r="D14" s="81"/>
      <c r="E14" s="81"/>
      <c r="F14" s="82"/>
      <c r="G14" s="1"/>
    </row>
    <row r="15" spans="1:7" x14ac:dyDescent="0.45">
      <c r="A15" s="1"/>
      <c r="B15" s="44" t="s">
        <v>18</v>
      </c>
      <c r="C15" s="44" t="s">
        <v>11</v>
      </c>
      <c r="D15" s="45"/>
      <c r="E15" s="44" t="s">
        <v>32</v>
      </c>
      <c r="F15" s="45"/>
      <c r="G15" s="1"/>
    </row>
    <row r="16" spans="1:7" x14ac:dyDescent="0.45">
      <c r="A16" s="1"/>
      <c r="B16" s="20" t="s">
        <v>185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69</v>
      </c>
      <c r="C20" s="81"/>
      <c r="D20" s="81"/>
      <c r="E20" s="81"/>
      <c r="F20" s="82"/>
      <c r="G20" s="1"/>
    </row>
    <row r="21" spans="1:7" x14ac:dyDescent="0.45">
      <c r="A21" s="1"/>
      <c r="B21" s="44" t="s">
        <v>18</v>
      </c>
      <c r="C21" s="44" t="s">
        <v>11</v>
      </c>
      <c r="D21" s="45"/>
      <c r="E21" s="44" t="s">
        <v>32</v>
      </c>
      <c r="F21" s="45"/>
      <c r="G21" s="1"/>
    </row>
    <row r="22" spans="1:7" x14ac:dyDescent="0.45">
      <c r="A22" s="1"/>
      <c r="B22" s="20" t="s">
        <v>185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141</v>
      </c>
      <c r="C26" s="81"/>
      <c r="D26" s="81"/>
      <c r="E26" s="81"/>
      <c r="F26" s="82"/>
      <c r="G26" s="1"/>
    </row>
    <row r="27" spans="1:7" x14ac:dyDescent="0.45">
      <c r="A27" s="1"/>
      <c r="B27" s="44" t="s">
        <v>18</v>
      </c>
      <c r="C27" s="44" t="s">
        <v>11</v>
      </c>
      <c r="D27" s="45"/>
      <c r="E27" s="44" t="s">
        <v>32</v>
      </c>
      <c r="F27" s="45"/>
      <c r="G27" s="1"/>
    </row>
    <row r="28" spans="1:7" x14ac:dyDescent="0.45">
      <c r="A28" s="1"/>
      <c r="B28" s="20" t="s">
        <v>185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142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6" t="s">
        <v>173</v>
      </c>
      <c r="C3" s="66"/>
      <c r="D3" s="1"/>
    </row>
    <row r="4" spans="1:4" ht="25.5" customHeight="1" x14ac:dyDescent="0.45">
      <c r="A4" s="1"/>
      <c r="B4" s="66"/>
      <c r="C4" s="6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100</v>
      </c>
      <c r="C9" s="21">
        <v>1.2699999999999999E-2</v>
      </c>
      <c r="D9" s="1"/>
    </row>
    <row r="10" spans="1:4" x14ac:dyDescent="0.45">
      <c r="A10" s="1"/>
      <c r="B10" s="26" t="s">
        <v>23</v>
      </c>
      <c r="C10" s="21">
        <v>1.7500000000000002E-2</v>
      </c>
      <c r="D10" s="1"/>
    </row>
    <row r="11" spans="1:4" x14ac:dyDescent="0.45">
      <c r="A11" s="1"/>
      <c r="B11" s="26" t="s">
        <v>24</v>
      </c>
      <c r="C11" s="21">
        <v>1.6899999999999998E-2</v>
      </c>
      <c r="D11" s="1"/>
    </row>
    <row r="12" spans="1:4" x14ac:dyDescent="0.45">
      <c r="A12" s="1"/>
      <c r="B12" s="28" t="s">
        <v>42</v>
      </c>
      <c r="C12" s="29">
        <v>1.9699999999999999E-2</v>
      </c>
      <c r="D12" s="1"/>
    </row>
    <row r="13" spans="1:4" x14ac:dyDescent="0.45">
      <c r="A13" s="1"/>
      <c r="B13" s="28" t="s">
        <v>143</v>
      </c>
      <c r="C13" s="29">
        <v>1.32E-2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88</v>
      </c>
      <c r="C17" s="47"/>
      <c r="D17" s="1"/>
    </row>
    <row r="18" spans="1:4" x14ac:dyDescent="0.45">
      <c r="A18" s="1"/>
      <c r="B18" s="26" t="s">
        <v>101</v>
      </c>
      <c r="C18" s="21">
        <v>1.7000000000000001E-2</v>
      </c>
      <c r="D18" s="1"/>
    </row>
    <row r="19" spans="1:4" x14ac:dyDescent="0.45">
      <c r="A19" s="1"/>
      <c r="B19" s="95"/>
      <c r="C19" s="96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x14ac:dyDescent="0.45">
      <c r="A9" s="1"/>
      <c r="B9" s="41" t="s">
        <v>27</v>
      </c>
      <c r="C9" s="41"/>
      <c r="D9" s="41"/>
      <c r="E9" s="7">
        <f>'Fane 3. Omkostninger i ØR2020'!$E$16</f>
        <v>18443257.441434767</v>
      </c>
      <c r="F9" s="41" t="s">
        <v>3</v>
      </c>
      <c r="G9" s="1"/>
    </row>
    <row r="10" spans="1:7" ht="17.100000000000001" customHeight="1" x14ac:dyDescent="0.45">
      <c r="A10" s="1"/>
      <c r="B10" s="41" t="s">
        <v>155</v>
      </c>
      <c r="C10" s="41"/>
      <c r="D10" s="41"/>
      <c r="E10" s="2">
        <v>-161673.92143222701</v>
      </c>
      <c r="F10" s="41" t="s">
        <v>3</v>
      </c>
      <c r="G10" s="1"/>
    </row>
    <row r="11" spans="1:7" ht="17.100000000000001" customHeight="1" x14ac:dyDescent="0.45">
      <c r="A11" s="1"/>
      <c r="B11" s="27" t="s">
        <v>103</v>
      </c>
      <c r="C11" s="41"/>
      <c r="D11" s="41"/>
      <c r="E11" s="7">
        <f>'Fane 8.1. Varige tillæg'!C12+'Fane 8.1. Varige tillæg'!E12</f>
        <v>0</v>
      </c>
      <c r="F11" s="41" t="s">
        <v>3</v>
      </c>
      <c r="G11" s="1"/>
    </row>
    <row r="12" spans="1:7" ht="17.100000000000001" customHeight="1" x14ac:dyDescent="0.45">
      <c r="A12" s="1"/>
      <c r="B12" s="27" t="s">
        <v>104</v>
      </c>
      <c r="C12" s="41"/>
      <c r="D12" s="41"/>
      <c r="E12" s="8">
        <f>-('Fane 11. Bortfald'!C12+'Fane 11. Bortfald'!E12)</f>
        <v>0</v>
      </c>
      <c r="F12" s="41" t="s">
        <v>3</v>
      </c>
      <c r="G12" s="1"/>
    </row>
    <row r="13" spans="1:7" ht="17.100000000000001" customHeight="1" x14ac:dyDescent="0.45">
      <c r="A13" s="1"/>
      <c r="B13" s="27" t="s">
        <v>112</v>
      </c>
      <c r="C13" s="41"/>
      <c r="D13" s="41"/>
      <c r="E13" s="8">
        <f>'Fane 10. Tilknyttet virksomhed'!C12+'Fane 10. Tilknyttet virksomhed'!E12</f>
        <v>0</v>
      </c>
      <c r="F13" s="41" t="s">
        <v>3</v>
      </c>
      <c r="G13" s="1"/>
    </row>
    <row r="14" spans="1:7" ht="17.100000000000001" customHeight="1" x14ac:dyDescent="0.45">
      <c r="A14" s="1"/>
      <c r="B14" s="27" t="s">
        <v>19</v>
      </c>
      <c r="C14" s="41"/>
      <c r="D14" s="41"/>
      <c r="E14" s="8">
        <f>SUM(E9:E13)*'Fane 12. Nøgletal'!C13</f>
        <v>241316.90246403354</v>
      </c>
      <c r="F14" s="41" t="s">
        <v>3</v>
      </c>
      <c r="G14" s="1"/>
    </row>
    <row r="15" spans="1:7" ht="17.100000000000001" customHeight="1" x14ac:dyDescent="0.45">
      <c r="A15" s="1"/>
      <c r="B15" s="27" t="s">
        <v>88</v>
      </c>
      <c r="C15" s="41"/>
      <c r="D15" s="41"/>
      <c r="E15" s="8">
        <f>-SUM(E9:E14)*'Fane 12. Nøgletal'!C18</f>
        <v>-314889.30718193174</v>
      </c>
      <c r="F15" s="41" t="s">
        <v>3</v>
      </c>
      <c r="G15" s="1"/>
    </row>
    <row r="16" spans="1:7" ht="15" customHeight="1" x14ac:dyDescent="0.45">
      <c r="A16" s="1"/>
      <c r="B16" s="42" t="s">
        <v>21</v>
      </c>
      <c r="C16" s="39"/>
      <c r="D16" s="39"/>
      <c r="E16" s="9">
        <f>SUM(E9:E15)</f>
        <v>18208011.11528464</v>
      </c>
      <c r="F16" s="32" t="s">
        <v>3</v>
      </c>
      <c r="G16" s="1"/>
    </row>
    <row r="17" spans="1:7" ht="15" customHeight="1" x14ac:dyDescent="0.4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45">
      <c r="A18" s="1"/>
      <c r="B18" s="32" t="s">
        <v>12</v>
      </c>
      <c r="C18" s="32"/>
      <c r="D18" s="32"/>
      <c r="E18" s="9">
        <f>'Fane 4. Ikke-påvirkelige omk.'!C14+'Fane 4. Ikke-påvirkelige omk.'!C18+'Fane 4. Ikke-påvirkelige omk.'!C26</f>
        <v>207143.17672144005</v>
      </c>
      <c r="F18" s="32" t="s">
        <v>3</v>
      </c>
      <c r="G18" s="1"/>
    </row>
    <row r="19" spans="1:7" ht="15" customHeight="1" x14ac:dyDescent="0.4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45">
      <c r="A20" s="1"/>
      <c r="B20" s="42" t="s">
        <v>54</v>
      </c>
      <c r="C20" s="39"/>
      <c r="D20" s="39"/>
      <c r="E20" s="9">
        <f>'Fane 9. Periodevise driftsomk.'!E11</f>
        <v>0</v>
      </c>
      <c r="F20" s="32" t="s">
        <v>3</v>
      </c>
      <c r="G20" s="1"/>
    </row>
    <row r="21" spans="1:7" ht="15" customHeight="1" x14ac:dyDescent="0.4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45">
      <c r="A22" s="1"/>
      <c r="B22" s="27" t="s">
        <v>49</v>
      </c>
      <c r="C22" s="41"/>
      <c r="D22" s="41"/>
      <c r="E22" s="8">
        <f>'Fane 8.2. Engangstillæg'!C13</f>
        <v>0</v>
      </c>
      <c r="F22" s="41" t="s">
        <v>3</v>
      </c>
      <c r="G22" s="1"/>
    </row>
    <row r="23" spans="1:7" x14ac:dyDescent="0.45">
      <c r="A23" s="1"/>
      <c r="B23" s="27" t="s">
        <v>50</v>
      </c>
      <c r="C23" s="41"/>
      <c r="D23" s="41"/>
      <c r="E23" s="8">
        <f>'Fane 8.2. Engangstillæg'!E13</f>
        <v>0</v>
      </c>
      <c r="F23" s="41" t="s">
        <v>3</v>
      </c>
      <c r="G23" s="1"/>
    </row>
    <row r="24" spans="1:7" ht="15" customHeight="1" x14ac:dyDescent="0.45">
      <c r="A24" s="1"/>
      <c r="B24" s="42" t="s">
        <v>55</v>
      </c>
      <c r="C24" s="39"/>
      <c r="D24" s="39"/>
      <c r="E24" s="9">
        <f>SUM(E22:E23)</f>
        <v>0</v>
      </c>
      <c r="F24" s="32" t="s">
        <v>3</v>
      </c>
      <c r="G24" s="1"/>
    </row>
    <row r="25" spans="1:7" x14ac:dyDescent="0.45">
      <c r="A25" s="1"/>
      <c r="B25" s="31" t="s">
        <v>157</v>
      </c>
      <c r="C25" s="22"/>
      <c r="D25" s="47"/>
      <c r="E25" s="31"/>
      <c r="F25" s="31"/>
      <c r="G25" s="1"/>
    </row>
    <row r="26" spans="1:7" x14ac:dyDescent="0.45">
      <c r="A26" s="1"/>
      <c r="B26" s="42" t="s">
        <v>37</v>
      </c>
      <c r="C26" s="39"/>
      <c r="D26" s="39"/>
      <c r="E26" s="9">
        <f>'Fane 5. Kontrol af ØR2019'!E42</f>
        <v>-429559.30271487642</v>
      </c>
      <c r="F26" s="32" t="s">
        <v>3</v>
      </c>
      <c r="G26" s="1"/>
    </row>
    <row r="27" spans="1:7" x14ac:dyDescent="0.45">
      <c r="A27" s="1"/>
      <c r="B27" s="42" t="s">
        <v>156</v>
      </c>
      <c r="C27" s="39"/>
      <c r="D27" s="39"/>
      <c r="E27" s="9">
        <f>'Fane 5. Kontrol af ØR2019'!E43</f>
        <v>0</v>
      </c>
      <c r="F27" s="32" t="s">
        <v>3</v>
      </c>
      <c r="G27" s="1"/>
    </row>
    <row r="28" spans="1:7" x14ac:dyDescent="0.45">
      <c r="A28" s="1"/>
      <c r="B28" s="31" t="s">
        <v>109</v>
      </c>
      <c r="C28" s="31"/>
      <c r="D28" s="31"/>
      <c r="E28" s="31"/>
      <c r="F28" s="31"/>
      <c r="G28" s="1"/>
    </row>
    <row r="29" spans="1:7" x14ac:dyDescent="0.45">
      <c r="A29" s="1"/>
      <c r="B29" s="32" t="s">
        <v>109</v>
      </c>
      <c r="C29" s="32"/>
      <c r="D29" s="32"/>
      <c r="E29" s="9">
        <f>'Fane 6. Korrektion af ØR2019'!E17</f>
        <v>0</v>
      </c>
      <c r="F29" s="32" t="s">
        <v>3</v>
      </c>
      <c r="G29" s="1"/>
    </row>
    <row r="30" spans="1:7" x14ac:dyDescent="0.45">
      <c r="A30" s="1"/>
      <c r="B30" s="31" t="s">
        <v>29</v>
      </c>
      <c r="C30" s="31"/>
      <c r="D30" s="31"/>
      <c r="E30" s="10">
        <f>SUM(E16,E18,E20,E24,E26,E27,E29)</f>
        <v>17985594.989291202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45">
      <c r="A9" s="1"/>
      <c r="B9" s="41" t="s">
        <v>28</v>
      </c>
      <c r="C9" s="41"/>
      <c r="D9" s="41"/>
      <c r="E9" s="7">
        <f>'Fane 2.1. Økonomisk ramme 2021'!E16</f>
        <v>18208011.11528464</v>
      </c>
      <c r="F9" s="41" t="s">
        <v>3</v>
      </c>
      <c r="G9" s="1"/>
    </row>
    <row r="10" spans="1:7" ht="15" customHeight="1" x14ac:dyDescent="0.45">
      <c r="A10" s="1"/>
      <c r="B10" s="27" t="s">
        <v>104</v>
      </c>
      <c r="C10" s="41"/>
      <c r="D10" s="41"/>
      <c r="E10" s="7">
        <f>-('Fane 11. Bortfald'!C18+'Fane 11. Bortfald'!E18)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SUM(E9:E10)*'Fane 12. Nøgletal'!C13</f>
        <v>240345.74672175726</v>
      </c>
      <c r="F11" s="41" t="s">
        <v>3</v>
      </c>
      <c r="G11" s="1"/>
    </row>
    <row r="12" spans="1:7" ht="15" customHeight="1" x14ac:dyDescent="0.45">
      <c r="A12" s="1"/>
      <c r="B12" s="38" t="s">
        <v>88</v>
      </c>
      <c r="C12" s="41"/>
      <c r="D12" s="41"/>
      <c r="E12" s="8">
        <f>-SUM(E9:E11)*'Fane 12. Nøgletal'!C18</f>
        <v>-313622.06665410876</v>
      </c>
      <c r="F12" s="41" t="s">
        <v>3</v>
      </c>
      <c r="G12" s="1"/>
    </row>
    <row r="13" spans="1:7" ht="15" customHeight="1" x14ac:dyDescent="0.45">
      <c r="A13" s="1"/>
      <c r="B13" s="39" t="s">
        <v>21</v>
      </c>
      <c r="C13" s="39"/>
      <c r="D13" s="39"/>
      <c r="E13" s="9">
        <f>SUM(E9:E12)</f>
        <v>18134734.795352288</v>
      </c>
      <c r="F13" s="32" t="s">
        <v>3</v>
      </c>
      <c r="G13" s="1"/>
    </row>
    <row r="14" spans="1:7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Nøgletal'!C13)+'Fane 4. Ikke-påvirkelige omk.'!C19+'Fane 4. Ikke-påvirkelige omk.'!C27</f>
        <v>209877.46665416309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driftsomk.'!E16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Engangstillæg'!C20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Engangstillæg'!E20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ht="15" customHeight="1" x14ac:dyDescent="0.45">
      <c r="A23" s="1"/>
      <c r="B23" s="42" t="s">
        <v>37</v>
      </c>
      <c r="C23" s="39"/>
      <c r="D23" s="39"/>
      <c r="E23" s="9">
        <f>'Fane 5. Kontrol af ØR2019'!E42</f>
        <v>-429559.30271487642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30</v>
      </c>
      <c r="C25" s="31"/>
      <c r="D25" s="31"/>
      <c r="E25" s="10">
        <f>SUM(E13,E15,E17,E21,E23,E24)</f>
        <v>17915052.959291574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114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28</v>
      </c>
      <c r="C8" s="41"/>
      <c r="D8" s="41"/>
      <c r="E8" s="7">
        <f>'Fane 2.2. Økonomisk ramme 2022'!E13</f>
        <v>18134734.795352288</v>
      </c>
      <c r="F8" s="41" t="s">
        <v>3</v>
      </c>
      <c r="G8" s="1"/>
    </row>
    <row r="9" spans="1:7" ht="15" customHeight="1" x14ac:dyDescent="0.45">
      <c r="A9" s="1"/>
      <c r="B9" s="38" t="s">
        <v>154</v>
      </c>
      <c r="C9" s="41"/>
      <c r="D9" s="41"/>
      <c r="E9" s="7">
        <f>'Fane 2.2. Økonomisk ramme 2022'!E10*(1-'Fane 12. Nøgletal'!C18)</f>
        <v>0</v>
      </c>
      <c r="F9" s="41" t="s">
        <v>3</v>
      </c>
      <c r="G9" s="1"/>
    </row>
    <row r="10" spans="1:7" ht="15" customHeight="1" x14ac:dyDescent="0.45">
      <c r="A10" s="1"/>
      <c r="B10" s="41" t="s">
        <v>104</v>
      </c>
      <c r="C10" s="41"/>
      <c r="D10" s="41"/>
      <c r="E10" s="7">
        <f>-('Fane 11. Bortfald'!C24+'Fane 11. Bortfald'!E24)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(E8-E9)*'Fane 12. Nøgletal'!C13+SUM(E9:E10)*'Fane 12. Nøgletal'!C13</f>
        <v>239378.49929865019</v>
      </c>
      <c r="F11" s="41" t="s">
        <v>3</v>
      </c>
      <c r="G11" s="1"/>
    </row>
    <row r="12" spans="1:7" x14ac:dyDescent="0.45">
      <c r="A12" s="1"/>
      <c r="B12" s="38" t="s">
        <v>88</v>
      </c>
      <c r="C12" s="41"/>
      <c r="D12" s="41"/>
      <c r="E12" s="8">
        <f>-SUM(E8,E10:E11)*'Fane 12. Nøgletal'!C18</f>
        <v>-312359.926009066</v>
      </c>
      <c r="F12" s="41" t="s">
        <v>3</v>
      </c>
      <c r="G12" s="1"/>
    </row>
    <row r="13" spans="1:7" x14ac:dyDescent="0.45">
      <c r="A13" s="1"/>
      <c r="B13" s="39" t="s">
        <v>21</v>
      </c>
      <c r="C13" s="39"/>
      <c r="D13" s="39"/>
      <c r="E13" s="9">
        <f>SUM(E8,E10:E12)</f>
        <v>18061753.368641872</v>
      </c>
      <c r="F13" s="32" t="s">
        <v>3</v>
      </c>
      <c r="G13" s="1"/>
    </row>
    <row r="14" spans="1:7" ht="15" customHeight="1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Nøgletal'!C13)^2+'Fane 4. Ikke-påvirkelige omk.'!C20+'Fane 4. Ikke-påvirkelige omk.'!C28</f>
        <v>212647.84921399804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driftsomk.'!E21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Engangstillæg'!C27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Engangstillæg'!E27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ht="15" customHeight="1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x14ac:dyDescent="0.45">
      <c r="A23" s="1"/>
      <c r="B23" s="42" t="s">
        <v>37</v>
      </c>
      <c r="C23" s="39"/>
      <c r="D23" s="39"/>
      <c r="E23" s="9">
        <f>'Fane 5. Kontrol af ØR2019'!E42</f>
        <v>-429559.30271487642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59</v>
      </c>
      <c r="C25" s="31"/>
      <c r="D25" s="31"/>
      <c r="E25" s="10">
        <f>SUM(E13,E15,E17,E21,E23,E24)</f>
        <v>17844841.915140994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115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22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116</v>
      </c>
      <c r="C8" s="41"/>
      <c r="D8" s="41"/>
      <c r="E8" s="7">
        <f>'Fane 2.3. Økonomisk ramme 2023'!E13</f>
        <v>18061753.368641872</v>
      </c>
      <c r="F8" s="41" t="s">
        <v>3</v>
      </c>
      <c r="G8" s="1"/>
    </row>
    <row r="9" spans="1:7" ht="15" customHeight="1" x14ac:dyDescent="0.45">
      <c r="A9" s="1"/>
      <c r="B9" s="41" t="s">
        <v>104</v>
      </c>
      <c r="C9" s="41"/>
      <c r="D9" s="41"/>
      <c r="E9" s="7">
        <f>-('Fane 11. Bortfald'!C30+'Fane 11. Bortfald'!E30)</f>
        <v>0</v>
      </c>
      <c r="F9" s="41" t="s">
        <v>3</v>
      </c>
      <c r="G9" s="1"/>
    </row>
    <row r="10" spans="1:7" ht="15" customHeight="1" x14ac:dyDescent="0.45">
      <c r="A10" s="1"/>
      <c r="B10" s="38" t="s">
        <v>19</v>
      </c>
      <c r="C10" s="41"/>
      <c r="D10" s="41"/>
      <c r="E10" s="8">
        <f>SUM(E8:E9)*'Fane 12. Nøgletal'!C13</f>
        <v>238415.1444660727</v>
      </c>
      <c r="F10" s="41" t="s">
        <v>3</v>
      </c>
      <c r="G10" s="1"/>
    </row>
    <row r="11" spans="1:7" ht="15" customHeight="1" x14ac:dyDescent="0.45">
      <c r="A11" s="1"/>
      <c r="B11" s="38" t="s">
        <v>88</v>
      </c>
      <c r="C11" s="41"/>
      <c r="D11" s="41"/>
      <c r="E11" s="8">
        <f>-SUM(E8:E10)*'Fane 12. Nøgletal'!C18</f>
        <v>-311102.86472283507</v>
      </c>
      <c r="F11" s="41" t="s">
        <v>3</v>
      </c>
      <c r="G11" s="1"/>
    </row>
    <row r="12" spans="1:7" x14ac:dyDescent="0.45">
      <c r="A12" s="1"/>
      <c r="B12" s="39" t="s">
        <v>21</v>
      </c>
      <c r="C12" s="39"/>
      <c r="D12" s="39"/>
      <c r="E12" s="9">
        <f>SUM(E8:E11)</f>
        <v>17989065.648385108</v>
      </c>
      <c r="F12" s="32" t="s">
        <v>3</v>
      </c>
      <c r="G12" s="1"/>
    </row>
    <row r="13" spans="1:7" x14ac:dyDescent="0.4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45">
      <c r="A14" s="1"/>
      <c r="B14" s="32" t="s">
        <v>12</v>
      </c>
      <c r="C14" s="32"/>
      <c r="D14" s="32"/>
      <c r="E14" s="9">
        <f>'Fane 4. Ikke-påvirkelige omk.'!C14*(1+'Fane 12. Nøgletal'!C13)^3+'Fane 4. Ikke-påvirkelige omk.'!C21+'Fane 4. Ikke-påvirkelige omk.'!C29</f>
        <v>215454.80082362285</v>
      </c>
      <c r="F14" s="32" t="s">
        <v>3</v>
      </c>
      <c r="G14" s="1"/>
    </row>
    <row r="15" spans="1:7" ht="15" customHeight="1" x14ac:dyDescent="0.4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45">
      <c r="A16" s="1"/>
      <c r="B16" s="42" t="s">
        <v>54</v>
      </c>
      <c r="C16" s="39"/>
      <c r="D16" s="39"/>
      <c r="E16" s="9">
        <f>'Fane 9. Periodevise driftsomk.'!E26</f>
        <v>0</v>
      </c>
      <c r="F16" s="32" t="s">
        <v>3</v>
      </c>
      <c r="G16" s="1"/>
    </row>
    <row r="17" spans="1:7" ht="15" customHeight="1" x14ac:dyDescent="0.4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45">
      <c r="A18" s="1"/>
      <c r="B18" s="27" t="s">
        <v>49</v>
      </c>
      <c r="C18" s="41"/>
      <c r="D18" s="41"/>
      <c r="E18" s="8">
        <f>'Fane 8.2. Engangstillæg'!C34</f>
        <v>0</v>
      </c>
      <c r="F18" s="41" t="s">
        <v>3</v>
      </c>
      <c r="G18" s="1"/>
    </row>
    <row r="19" spans="1:7" ht="15" customHeight="1" x14ac:dyDescent="0.45">
      <c r="A19" s="1"/>
      <c r="B19" s="27" t="s">
        <v>50</v>
      </c>
      <c r="C19" s="41"/>
      <c r="D19" s="41"/>
      <c r="E19" s="8">
        <f>'Fane 8.2. Engangstillæg'!E34</f>
        <v>0</v>
      </c>
      <c r="F19" s="41" t="s">
        <v>3</v>
      </c>
      <c r="G19" s="1"/>
    </row>
    <row r="20" spans="1:7" ht="15" customHeight="1" x14ac:dyDescent="0.45">
      <c r="A20" s="1"/>
      <c r="B20" s="42" t="s">
        <v>55</v>
      </c>
      <c r="C20" s="39"/>
      <c r="D20" s="39"/>
      <c r="E20" s="9">
        <f>SUM(E18:E19)</f>
        <v>0</v>
      </c>
      <c r="F20" s="32" t="s">
        <v>3</v>
      </c>
      <c r="G20" s="1"/>
    </row>
    <row r="21" spans="1:7" ht="15" customHeight="1" x14ac:dyDescent="0.45">
      <c r="A21" s="1"/>
      <c r="B21" s="31" t="s">
        <v>117</v>
      </c>
      <c r="C21" s="31"/>
      <c r="D21" s="31"/>
      <c r="E21" s="10">
        <f>SUM(E12,E14,E16,E20)</f>
        <v>18204520.449208729</v>
      </c>
      <c r="F21" s="11" t="s">
        <v>3</v>
      </c>
      <c r="G21" s="1"/>
    </row>
    <row r="22" spans="1:7" ht="15" customHeight="1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3" width="9" style="2"/>
    <col min="4" max="4" width="39.86328125" style="2" customWidth="1"/>
    <col min="5" max="5" width="10" style="2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118</v>
      </c>
      <c r="C3" s="66"/>
      <c r="D3" s="66"/>
      <c r="E3" s="66"/>
      <c r="F3" s="66"/>
      <c r="G3" s="1"/>
    </row>
    <row r="4" spans="1:7" ht="29.2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119</v>
      </c>
      <c r="C8" s="31"/>
      <c r="D8" s="31"/>
      <c r="E8" s="31"/>
      <c r="F8" s="31"/>
      <c r="G8" s="1"/>
    </row>
    <row r="9" spans="1:7" x14ac:dyDescent="0.45">
      <c r="A9" s="1"/>
      <c r="B9" s="67" t="s">
        <v>25</v>
      </c>
      <c r="C9" s="67"/>
      <c r="D9" s="67"/>
      <c r="E9" s="7">
        <v>18526923.173795309</v>
      </c>
      <c r="F9" s="41" t="s">
        <v>3</v>
      </c>
      <c r="G9" s="1"/>
    </row>
    <row r="10" spans="1:7" x14ac:dyDescent="0.45">
      <c r="A10" s="1"/>
      <c r="B10" s="68" t="s">
        <v>178</v>
      </c>
      <c r="C10" s="68"/>
      <c r="D10" s="68"/>
      <c r="E10" s="7">
        <v>0</v>
      </c>
      <c r="F10" s="41" t="s">
        <v>3</v>
      </c>
      <c r="G10" s="1"/>
    </row>
    <row r="11" spans="1:7" x14ac:dyDescent="0.45">
      <c r="A11" s="1"/>
      <c r="B11" s="68" t="s">
        <v>179</v>
      </c>
      <c r="C11" s="68"/>
      <c r="D11" s="68"/>
      <c r="E11" s="7">
        <v>0</v>
      </c>
      <c r="F11" s="41" t="s">
        <v>3</v>
      </c>
      <c r="G11" s="1"/>
    </row>
    <row r="12" spans="1:7" x14ac:dyDescent="0.45">
      <c r="A12" s="1"/>
      <c r="B12" s="68" t="s">
        <v>103</v>
      </c>
      <c r="C12" s="68"/>
      <c r="D12" s="68"/>
      <c r="E12" s="7">
        <v>0</v>
      </c>
      <c r="F12" s="41" t="s">
        <v>3</v>
      </c>
      <c r="G12" s="1"/>
    </row>
    <row r="13" spans="1:7" x14ac:dyDescent="0.45">
      <c r="A13" s="1"/>
      <c r="B13" s="68" t="s">
        <v>104</v>
      </c>
      <c r="C13" s="68"/>
      <c r="D13" s="68"/>
      <c r="E13" s="8">
        <v>0</v>
      </c>
      <c r="F13" s="41" t="s">
        <v>3</v>
      </c>
      <c r="G13" s="1"/>
    </row>
    <row r="14" spans="1:7" x14ac:dyDescent="0.45">
      <c r="A14" s="1"/>
      <c r="B14" s="68" t="s">
        <v>19</v>
      </c>
      <c r="C14" s="68"/>
      <c r="D14" s="68"/>
      <c r="E14" s="8">
        <f>(E9-SUM(E10:E11))*'Fane 12. Nøgletal'!C9+E10*'Fane 12. Nøgletal'!C10+E11*'Fane 12. Nøgletal'!C11+SUM(E12:E13)*'Fane 12. Nøgletal'!C12</f>
        <v>235291.92430720042</v>
      </c>
      <c r="F14" s="41" t="s">
        <v>3</v>
      </c>
      <c r="G14" s="1"/>
    </row>
    <row r="15" spans="1:7" x14ac:dyDescent="0.45">
      <c r="A15" s="1"/>
      <c r="B15" s="68" t="s">
        <v>88</v>
      </c>
      <c r="C15" s="68"/>
      <c r="D15" s="68"/>
      <c r="E15" s="8">
        <f>-SUM(E9:E9,E12:E14)*'Fane 12. Nøgletal'!C18</f>
        <v>-318957.6566677427</v>
      </c>
      <c r="F15" s="41" t="s">
        <v>3</v>
      </c>
      <c r="G15" s="1"/>
    </row>
    <row r="16" spans="1:7" x14ac:dyDescent="0.45">
      <c r="A16" s="1"/>
      <c r="B16" s="73" t="s">
        <v>21</v>
      </c>
      <c r="C16" s="73"/>
      <c r="D16" s="73"/>
      <c r="E16" s="9">
        <f>SUM(E9,E12:E15)</f>
        <v>18443257.441434767</v>
      </c>
      <c r="F16" s="32" t="s">
        <v>3</v>
      </c>
      <c r="G16" s="1"/>
    </row>
    <row r="17" spans="1:7" x14ac:dyDescent="0.45">
      <c r="A17" s="1"/>
      <c r="B17" s="31" t="s">
        <v>12</v>
      </c>
      <c r="C17" s="22"/>
      <c r="D17" s="22"/>
      <c r="E17" s="22"/>
      <c r="F17" s="47"/>
      <c r="G17" s="1"/>
    </row>
    <row r="18" spans="1:7" ht="14.25" customHeight="1" x14ac:dyDescent="0.45">
      <c r="A18" s="1"/>
      <c r="B18" s="70" t="s">
        <v>12</v>
      </c>
      <c r="C18" s="71"/>
      <c r="D18" s="72"/>
      <c r="E18" s="9">
        <v>202495.61116323</v>
      </c>
      <c r="F18" s="9" t="s">
        <v>3</v>
      </c>
      <c r="G18" s="1"/>
    </row>
    <row r="19" spans="1:7" ht="14.25" customHeight="1" x14ac:dyDescent="0.45">
      <c r="A19" s="1"/>
      <c r="B19" s="31" t="s">
        <v>54</v>
      </c>
      <c r="C19" s="31"/>
      <c r="D19" s="31"/>
      <c r="E19" s="22"/>
      <c r="F19" s="22"/>
      <c r="G19" s="1"/>
    </row>
    <row r="20" spans="1:7" x14ac:dyDescent="0.45">
      <c r="A20" s="1"/>
      <c r="B20" s="42" t="s">
        <v>54</v>
      </c>
      <c r="C20" s="33"/>
      <c r="D20" s="34"/>
      <c r="E20" s="9">
        <v>0</v>
      </c>
      <c r="F20" s="32" t="s">
        <v>3</v>
      </c>
      <c r="G20" s="1"/>
    </row>
    <row r="21" spans="1:7" x14ac:dyDescent="0.4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45">
      <c r="A22" s="1"/>
      <c r="B22" s="74" t="s">
        <v>49</v>
      </c>
      <c r="C22" s="75"/>
      <c r="D22" s="76"/>
      <c r="E22" s="35">
        <v>0</v>
      </c>
      <c r="F22" s="35" t="s">
        <v>3</v>
      </c>
      <c r="G22" s="1"/>
    </row>
    <row r="23" spans="1:7" ht="15.75" customHeight="1" x14ac:dyDescent="0.45">
      <c r="A23" s="1"/>
      <c r="B23" s="74" t="s">
        <v>50</v>
      </c>
      <c r="C23" s="75"/>
      <c r="D23" s="76"/>
      <c r="E23" s="35">
        <v>0</v>
      </c>
      <c r="F23" s="35" t="s">
        <v>3</v>
      </c>
      <c r="G23" s="1"/>
    </row>
    <row r="24" spans="1:7" x14ac:dyDescent="0.45">
      <c r="A24" s="1"/>
      <c r="B24" s="77" t="s">
        <v>55</v>
      </c>
      <c r="C24" s="78"/>
      <c r="D24" s="79"/>
      <c r="E24" s="9">
        <v>0</v>
      </c>
      <c r="F24" s="9" t="s">
        <v>3</v>
      </c>
      <c r="G24" s="1"/>
    </row>
    <row r="25" spans="1:7" x14ac:dyDescent="0.45">
      <c r="A25" s="1"/>
      <c r="B25" s="31" t="s">
        <v>174</v>
      </c>
      <c r="C25" s="31"/>
      <c r="D25" s="31"/>
      <c r="E25" s="22"/>
      <c r="F25" s="22"/>
      <c r="G25" s="1"/>
    </row>
    <row r="26" spans="1:7" ht="14.25" customHeight="1" x14ac:dyDescent="0.45">
      <c r="A26" s="1"/>
      <c r="B26" s="70" t="s">
        <v>175</v>
      </c>
      <c r="C26" s="71"/>
      <c r="D26" s="72"/>
      <c r="E26" s="9">
        <v>118666</v>
      </c>
      <c r="F26" s="32" t="s">
        <v>3</v>
      </c>
      <c r="G26" s="1"/>
    </row>
    <row r="27" spans="1:7" x14ac:dyDescent="0.45">
      <c r="A27" s="1"/>
      <c r="B27" s="31" t="s">
        <v>176</v>
      </c>
      <c r="C27" s="31"/>
      <c r="D27" s="31"/>
      <c r="E27" s="22"/>
      <c r="F27" s="22"/>
      <c r="G27" s="1"/>
    </row>
    <row r="28" spans="1:7" ht="15.75" customHeight="1" x14ac:dyDescent="0.45">
      <c r="A28" s="1"/>
      <c r="B28" s="70" t="s">
        <v>177</v>
      </c>
      <c r="C28" s="71"/>
      <c r="D28" s="72"/>
      <c r="E28" s="9">
        <v>0</v>
      </c>
      <c r="F28" s="32" t="s">
        <v>3</v>
      </c>
      <c r="G28" s="1"/>
    </row>
    <row r="29" spans="1:7" x14ac:dyDescent="0.45">
      <c r="A29" s="1"/>
      <c r="B29" s="31" t="s">
        <v>26</v>
      </c>
      <c r="C29" s="31"/>
      <c r="D29" s="31"/>
      <c r="E29" s="10">
        <f>E16+E18+E20+E24+E26+E28</f>
        <v>18764419.052597996</v>
      </c>
      <c r="F29" s="11" t="s">
        <v>3</v>
      </c>
      <c r="G29" s="1"/>
    </row>
    <row r="30" spans="1:7" ht="28.5" customHeight="1" x14ac:dyDescent="0.45">
      <c r="A30" s="1"/>
      <c r="B30" s="69" t="s">
        <v>120</v>
      </c>
      <c r="C30" s="69"/>
      <c r="D30" s="69"/>
      <c r="E30" s="69"/>
      <c r="F30" s="69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  <mergeCell ref="B3:F4"/>
    <mergeCell ref="B9:D9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80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121</v>
      </c>
      <c r="C8" s="81"/>
      <c r="D8" s="82"/>
      <c r="E8" s="1"/>
      <c r="F8" s="1"/>
    </row>
    <row r="9" spans="1:6" ht="15" customHeight="1" x14ac:dyDescent="0.45">
      <c r="A9" s="1"/>
      <c r="B9" s="17" t="s">
        <v>33</v>
      </c>
      <c r="C9" s="32" t="s">
        <v>144</v>
      </c>
      <c r="D9" s="32"/>
      <c r="E9" s="1"/>
      <c r="F9" s="1"/>
    </row>
    <row r="10" spans="1:6" x14ac:dyDescent="0.45">
      <c r="A10" s="1"/>
      <c r="B10" s="26" t="s">
        <v>180</v>
      </c>
      <c r="C10" s="8">
        <v>167165</v>
      </c>
      <c r="D10" s="12" t="s">
        <v>3</v>
      </c>
      <c r="E10" s="1"/>
      <c r="F10" s="1"/>
    </row>
    <row r="11" spans="1:6" x14ac:dyDescent="0.45">
      <c r="A11" s="1"/>
      <c r="B11" s="26" t="s">
        <v>181</v>
      </c>
      <c r="C11" s="8">
        <v>4211</v>
      </c>
      <c r="D11" s="12" t="s">
        <v>3</v>
      </c>
      <c r="E11" s="1"/>
      <c r="F11" s="1"/>
    </row>
    <row r="12" spans="1:6" x14ac:dyDescent="0.45">
      <c r="A12" s="1"/>
      <c r="B12" s="26" t="s">
        <v>182</v>
      </c>
      <c r="C12" s="8">
        <v>30405</v>
      </c>
      <c r="D12" s="12" t="s">
        <v>3</v>
      </c>
      <c r="E12" s="1"/>
      <c r="F12" s="1"/>
    </row>
    <row r="13" spans="1:6" x14ac:dyDescent="0.45">
      <c r="A13" s="1"/>
      <c r="B13" s="46" t="s">
        <v>122</v>
      </c>
      <c r="C13" s="10">
        <f>SUM(C10:C12)</f>
        <v>201781</v>
      </c>
      <c r="D13" s="11" t="s">
        <v>3</v>
      </c>
      <c r="E13" s="1"/>
      <c r="F13" s="1"/>
    </row>
    <row r="14" spans="1:6" x14ac:dyDescent="0.45">
      <c r="A14" s="1"/>
      <c r="B14" s="46" t="s">
        <v>123</v>
      </c>
      <c r="C14" s="10">
        <f>C13*(1+'Fane 12. Nøgletal'!C13)^2</f>
        <v>207143.17672144005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80" t="s">
        <v>99</v>
      </c>
      <c r="C17" s="81"/>
      <c r="D17" s="82"/>
      <c r="E17" s="1"/>
      <c r="F17" s="1"/>
    </row>
    <row r="18" spans="1:6" x14ac:dyDescent="0.45">
      <c r="A18" s="1"/>
      <c r="B18" s="26" t="s">
        <v>81</v>
      </c>
      <c r="C18" s="8">
        <v>0</v>
      </c>
      <c r="D18" s="12" t="s">
        <v>3</v>
      </c>
      <c r="E18" s="1"/>
      <c r="F18" s="1"/>
    </row>
    <row r="19" spans="1:6" x14ac:dyDescent="0.45">
      <c r="A19" s="1"/>
      <c r="B19" s="26" t="s">
        <v>82</v>
      </c>
      <c r="C19" s="8">
        <v>0</v>
      </c>
      <c r="D19" s="12" t="s">
        <v>3</v>
      </c>
      <c r="E19" s="1"/>
      <c r="F19" s="1"/>
    </row>
    <row r="20" spans="1:6" x14ac:dyDescent="0.45">
      <c r="A20" s="1"/>
      <c r="B20" s="26" t="s">
        <v>83</v>
      </c>
      <c r="C20" s="8">
        <v>0</v>
      </c>
      <c r="D20" s="12" t="s">
        <v>3</v>
      </c>
      <c r="E20" s="1"/>
      <c r="F20" s="1"/>
    </row>
    <row r="21" spans="1:6" x14ac:dyDescent="0.45">
      <c r="A21" s="1"/>
      <c r="B21" s="26" t="s">
        <v>124</v>
      </c>
      <c r="C21" s="8">
        <v>0</v>
      </c>
      <c r="D21" s="12" t="s">
        <v>3</v>
      </c>
      <c r="E21" s="1"/>
      <c r="F21" s="1"/>
    </row>
    <row r="22" spans="1:6" x14ac:dyDescent="0.45">
      <c r="A22" s="1"/>
      <c r="B22" s="80"/>
      <c r="C22" s="81"/>
      <c r="D22" s="82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80" t="s">
        <v>79</v>
      </c>
      <c r="C25" s="81"/>
      <c r="D25" s="82"/>
      <c r="E25" s="1"/>
      <c r="F25" s="1"/>
    </row>
    <row r="26" spans="1:6" x14ac:dyDescent="0.45">
      <c r="A26" s="1"/>
      <c r="B26" s="26" t="s">
        <v>81</v>
      </c>
      <c r="C26" s="8">
        <v>0</v>
      </c>
      <c r="D26" s="12" t="s">
        <v>3</v>
      </c>
      <c r="E26" s="1"/>
      <c r="F26" s="1"/>
    </row>
    <row r="27" spans="1:6" x14ac:dyDescent="0.45">
      <c r="A27" s="1"/>
      <c r="B27" s="26" t="s">
        <v>82</v>
      </c>
      <c r="C27" s="8">
        <v>0</v>
      </c>
      <c r="D27" s="12" t="s">
        <v>3</v>
      </c>
      <c r="E27" s="1"/>
      <c r="F27" s="1"/>
    </row>
    <row r="28" spans="1:6" x14ac:dyDescent="0.45">
      <c r="A28" s="1"/>
      <c r="B28" s="26" t="s">
        <v>83</v>
      </c>
      <c r="C28" s="8">
        <v>0</v>
      </c>
      <c r="D28" s="12" t="s">
        <v>3</v>
      </c>
      <c r="E28" s="1"/>
      <c r="F28" s="1"/>
    </row>
    <row r="29" spans="1:6" x14ac:dyDescent="0.45">
      <c r="A29" s="1"/>
      <c r="B29" s="26" t="s">
        <v>124</v>
      </c>
      <c r="C29" s="8">
        <v>0</v>
      </c>
      <c r="D29" s="12" t="s">
        <v>3</v>
      </c>
      <c r="E29" s="1"/>
      <c r="F29" s="1"/>
    </row>
    <row r="30" spans="1:6" x14ac:dyDescent="0.45">
      <c r="A30" s="1"/>
      <c r="B30" s="80"/>
      <c r="C30" s="81"/>
      <c r="D30" s="82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6" t="s">
        <v>149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ht="15" customHeight="1" x14ac:dyDescent="0.45">
      <c r="A5" s="1"/>
      <c r="B5" s="40"/>
      <c r="C5" s="40"/>
      <c r="D5" s="40"/>
      <c r="E5" s="40"/>
      <c r="F5" s="40"/>
      <c r="G5" s="1"/>
    </row>
    <row r="6" spans="1:7" ht="15" customHeight="1" x14ac:dyDescent="0.45">
      <c r="A6" s="1"/>
      <c r="B6" s="88" t="s">
        <v>37</v>
      </c>
      <c r="C6" s="88"/>
      <c r="D6" s="88"/>
      <c r="E6" s="88"/>
      <c r="F6" s="88"/>
      <c r="G6" s="1"/>
    </row>
    <row r="7" spans="1:7" ht="15" customHeight="1" x14ac:dyDescent="0.45">
      <c r="A7" s="1"/>
      <c r="B7" s="83" t="s">
        <v>35</v>
      </c>
      <c r="C7" s="83"/>
      <c r="D7" s="83"/>
      <c r="E7" s="8">
        <v>-474069.27999999997</v>
      </c>
      <c r="F7" s="12" t="s">
        <v>3</v>
      </c>
      <c r="G7" s="1"/>
    </row>
    <row r="8" spans="1:7" ht="15" customHeight="1" x14ac:dyDescent="0.45">
      <c r="A8" s="1"/>
      <c r="B8" s="83" t="s">
        <v>36</v>
      </c>
      <c r="C8" s="83"/>
      <c r="D8" s="83"/>
      <c r="E8" s="8">
        <v>-814608.6281446293</v>
      </c>
      <c r="F8" s="12" t="s">
        <v>3</v>
      </c>
      <c r="G8" s="1"/>
    </row>
    <row r="9" spans="1:7" ht="15" customHeight="1" x14ac:dyDescent="0.45">
      <c r="A9" s="1"/>
      <c r="B9" s="77" t="s">
        <v>98</v>
      </c>
      <c r="C9" s="78"/>
      <c r="D9" s="79"/>
      <c r="E9" s="9">
        <f>SUM(E7:E8)</f>
        <v>-1288677.9081446293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69" t="s">
        <v>87</v>
      </c>
      <c r="C11" s="69"/>
      <c r="D11" s="69"/>
      <c r="E11" s="69"/>
      <c r="F11" s="6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72</v>
      </c>
      <c r="C14" s="88"/>
      <c r="D14" s="88"/>
      <c r="E14" s="88"/>
      <c r="F14" s="88"/>
      <c r="G14" s="1"/>
    </row>
    <row r="15" spans="1:7" x14ac:dyDescent="0.45">
      <c r="A15" s="1"/>
      <c r="B15" s="83" t="s">
        <v>73</v>
      </c>
      <c r="C15" s="83"/>
      <c r="D15" s="83"/>
      <c r="E15" s="8">
        <v>18652305.184999999</v>
      </c>
      <c r="F15" s="12" t="s">
        <v>3</v>
      </c>
      <c r="G15" s="1"/>
    </row>
    <row r="16" spans="1:7" x14ac:dyDescent="0.45">
      <c r="A16" s="1"/>
      <c r="B16" s="83" t="s">
        <v>74</v>
      </c>
      <c r="C16" s="83"/>
      <c r="D16" s="83"/>
      <c r="E16" s="8">
        <v>17870746</v>
      </c>
      <c r="F16" s="12" t="s">
        <v>3</v>
      </c>
      <c r="G16" s="1"/>
    </row>
    <row r="17" spans="1:7" x14ac:dyDescent="0.45">
      <c r="A17" s="1"/>
      <c r="B17" s="83" t="s">
        <v>34</v>
      </c>
      <c r="C17" s="83"/>
      <c r="D17" s="83"/>
      <c r="E17" s="8">
        <v>0</v>
      </c>
      <c r="F17" s="12" t="s">
        <v>3</v>
      </c>
      <c r="G17" s="1"/>
    </row>
    <row r="18" spans="1:7" x14ac:dyDescent="0.45">
      <c r="A18" s="1"/>
      <c r="B18" s="84" t="s">
        <v>171</v>
      </c>
      <c r="C18" s="84"/>
      <c r="D18" s="84"/>
      <c r="E18" s="9">
        <f>E15-(E16-E17)</f>
        <v>781559.18499999866</v>
      </c>
      <c r="F18" s="15" t="s">
        <v>3</v>
      </c>
      <c r="G18" s="1"/>
    </row>
    <row r="19" spans="1:7" x14ac:dyDescent="0.45">
      <c r="A19" s="1"/>
      <c r="B19" s="85"/>
      <c r="C19" s="86"/>
      <c r="D19" s="86"/>
      <c r="E19" s="86"/>
      <c r="F19" s="87"/>
      <c r="G19" s="1"/>
    </row>
    <row r="20" spans="1:7" ht="28.5" customHeight="1" x14ac:dyDescent="0.45">
      <c r="A20" s="1"/>
      <c r="B20" s="69" t="s">
        <v>86</v>
      </c>
      <c r="C20" s="69"/>
      <c r="D20" s="69"/>
      <c r="E20" s="69"/>
      <c r="F20" s="69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45</v>
      </c>
      <c r="C22" s="88"/>
      <c r="D22" s="88"/>
      <c r="E22" s="88"/>
      <c r="F22" s="88"/>
      <c r="G22" s="1"/>
    </row>
    <row r="23" spans="1:7" x14ac:dyDescent="0.45">
      <c r="A23" s="1"/>
      <c r="B23" s="83" t="s">
        <v>46</v>
      </c>
      <c r="C23" s="83"/>
      <c r="D23" s="83"/>
      <c r="E23" s="8">
        <v>19034089.29980151</v>
      </c>
      <c r="F23" s="12" t="s">
        <v>3</v>
      </c>
      <c r="G23" s="1"/>
    </row>
    <row r="24" spans="1:7" x14ac:dyDescent="0.45">
      <c r="A24" s="1"/>
      <c r="B24" s="83" t="s">
        <v>47</v>
      </c>
      <c r="C24" s="83"/>
      <c r="D24" s="83"/>
      <c r="E24" s="8">
        <v>17766585</v>
      </c>
      <c r="F24" s="12" t="s">
        <v>3</v>
      </c>
      <c r="G24" s="1"/>
    </row>
    <row r="25" spans="1:7" x14ac:dyDescent="0.45">
      <c r="A25" s="1"/>
      <c r="B25" s="83" t="s">
        <v>34</v>
      </c>
      <c r="C25" s="83"/>
      <c r="D25" s="83"/>
      <c r="E25" s="8">
        <v>0</v>
      </c>
      <c r="F25" s="12" t="s">
        <v>3</v>
      </c>
      <c r="G25" s="1"/>
    </row>
    <row r="26" spans="1:7" x14ac:dyDescent="0.45">
      <c r="A26" s="1"/>
      <c r="B26" s="84" t="s">
        <v>170</v>
      </c>
      <c r="C26" s="84"/>
      <c r="D26" s="84"/>
      <c r="E26" s="9">
        <f>E23-(E24-E25)</f>
        <v>1267504.2998015098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7" customHeight="1" x14ac:dyDescent="0.45">
      <c r="A28" s="1"/>
      <c r="B28" s="69" t="s">
        <v>158</v>
      </c>
      <c r="C28" s="69"/>
      <c r="D28" s="69"/>
      <c r="E28" s="69"/>
      <c r="F28" s="69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8" t="s">
        <v>159</v>
      </c>
      <c r="C30" s="88"/>
      <c r="D30" s="88"/>
      <c r="E30" s="88"/>
      <c r="F30" s="88"/>
      <c r="G30" s="1"/>
    </row>
    <row r="31" spans="1:7" x14ac:dyDescent="0.45">
      <c r="A31" s="1"/>
      <c r="B31" s="83" t="s">
        <v>160</v>
      </c>
      <c r="C31" s="83"/>
      <c r="D31" s="83"/>
      <c r="E31" s="8">
        <v>18849712.242294207</v>
      </c>
      <c r="F31" s="12" t="s">
        <v>3</v>
      </c>
      <c r="G31" s="1"/>
    </row>
    <row r="32" spans="1:7" x14ac:dyDescent="0.45">
      <c r="A32" s="1"/>
      <c r="B32" s="83" t="s">
        <v>161</v>
      </c>
      <c r="C32" s="83"/>
      <c r="D32" s="83"/>
      <c r="E32" s="8">
        <v>17138573.130000003</v>
      </c>
      <c r="F32" s="12" t="s">
        <v>3</v>
      </c>
      <c r="G32" s="1"/>
    </row>
    <row r="33" spans="1:7" x14ac:dyDescent="0.45">
      <c r="A33" s="1"/>
      <c r="B33" s="83" t="s">
        <v>34</v>
      </c>
      <c r="C33" s="83"/>
      <c r="D33" s="83"/>
      <c r="E33" s="8">
        <v>0</v>
      </c>
      <c r="F33" s="12" t="s">
        <v>3</v>
      </c>
      <c r="G33" s="1"/>
    </row>
    <row r="34" spans="1:7" x14ac:dyDescent="0.45">
      <c r="A34" s="1"/>
      <c r="B34" s="84" t="s">
        <v>169</v>
      </c>
      <c r="C34" s="84"/>
      <c r="D34" s="84"/>
      <c r="E34" s="9">
        <f>E31-(E32-E33)</f>
        <v>1711139.1122942045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8" t="s">
        <v>162</v>
      </c>
      <c r="C38" s="88"/>
      <c r="D38" s="88"/>
      <c r="E38" s="88"/>
      <c r="F38" s="88"/>
      <c r="G38" s="1"/>
    </row>
    <row r="39" spans="1:7" x14ac:dyDescent="0.45">
      <c r="A39" s="1"/>
      <c r="B39" s="89" t="s">
        <v>37</v>
      </c>
      <c r="C39" s="89"/>
      <c r="D39" s="89"/>
      <c r="E39" s="8">
        <f>E9</f>
        <v>-1288677.9081446293</v>
      </c>
      <c r="F39" s="12" t="s">
        <v>3</v>
      </c>
      <c r="G39" s="1"/>
    </row>
    <row r="40" spans="1:7" x14ac:dyDescent="0.45">
      <c r="A40" s="1"/>
      <c r="B40" s="89" t="s">
        <v>168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9" t="s">
        <v>91</v>
      </c>
      <c r="C41" s="89"/>
      <c r="D41" s="89"/>
      <c r="E41" s="8">
        <v>3</v>
      </c>
      <c r="F41" s="12" t="s">
        <v>20</v>
      </c>
      <c r="G41" s="1"/>
    </row>
    <row r="42" spans="1:7" x14ac:dyDescent="0.45">
      <c r="A42" s="1"/>
      <c r="B42" s="84" t="s">
        <v>166</v>
      </c>
      <c r="C42" s="84"/>
      <c r="D42" s="84"/>
      <c r="E42" s="9">
        <f>SUM(E39)/E41</f>
        <v>-429559.30271487642</v>
      </c>
      <c r="F42" s="15" t="s">
        <v>3</v>
      </c>
      <c r="G42" s="1"/>
    </row>
    <row r="43" spans="1:7" x14ac:dyDescent="0.45">
      <c r="A43" s="1"/>
      <c r="B43" s="84" t="s">
        <v>167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8"/>
      <c r="C44" s="88"/>
      <c r="D44" s="88"/>
      <c r="E44" s="88"/>
      <c r="F44" s="88"/>
      <c r="G44" s="1"/>
    </row>
    <row r="47" spans="1:7" x14ac:dyDescent="0.4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43:D43"/>
    <mergeCell ref="B44:F44"/>
    <mergeCell ref="B38:F38"/>
    <mergeCell ref="B39:D39"/>
    <mergeCell ref="B40:D40"/>
    <mergeCell ref="B41:D41"/>
    <mergeCell ref="B42:D42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6" t="s">
        <v>130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8" t="s">
        <v>125</v>
      </c>
      <c r="C9" s="88"/>
      <c r="D9" s="88"/>
      <c r="E9" s="88"/>
      <c r="F9" s="88"/>
      <c r="G9" s="1"/>
    </row>
    <row r="10" spans="1:7" x14ac:dyDescent="0.45">
      <c r="A10" s="1"/>
      <c r="B10" s="69" t="s">
        <v>84</v>
      </c>
      <c r="C10" s="69"/>
      <c r="D10" s="69"/>
      <c r="E10" s="7">
        <v>0</v>
      </c>
      <c r="F10" s="41" t="s">
        <v>3</v>
      </c>
      <c r="G10" s="1"/>
    </row>
    <row r="11" spans="1:7" x14ac:dyDescent="0.45">
      <c r="A11" s="1"/>
      <c r="B11" s="83" t="s">
        <v>126</v>
      </c>
      <c r="C11" s="83"/>
      <c r="D11" s="83"/>
      <c r="E11" s="7">
        <v>0</v>
      </c>
      <c r="F11" s="41" t="s">
        <v>3</v>
      </c>
      <c r="G11" s="1"/>
    </row>
    <row r="12" spans="1:7" x14ac:dyDescent="0.45">
      <c r="A12" s="1"/>
      <c r="B12" s="84" t="s">
        <v>85</v>
      </c>
      <c r="C12" s="84"/>
      <c r="D12" s="84"/>
      <c r="E12" s="9">
        <f>E11-E10</f>
        <v>0</v>
      </c>
      <c r="F12" s="32" t="s">
        <v>3</v>
      </c>
      <c r="G12" s="1"/>
    </row>
    <row r="13" spans="1:7" x14ac:dyDescent="0.45">
      <c r="A13" s="1"/>
      <c r="B13" s="88" t="s">
        <v>71</v>
      </c>
      <c r="C13" s="88"/>
      <c r="D13" s="88"/>
      <c r="E13" s="88"/>
      <c r="F13" s="88"/>
      <c r="G13" s="1"/>
    </row>
    <row r="14" spans="1:7" x14ac:dyDescent="0.45">
      <c r="A14" s="1"/>
      <c r="B14" s="83" t="s">
        <v>127</v>
      </c>
      <c r="C14" s="83"/>
      <c r="D14" s="83"/>
      <c r="E14" s="8">
        <v>0</v>
      </c>
      <c r="F14" s="41" t="s">
        <v>3</v>
      </c>
      <c r="G14" s="1"/>
    </row>
    <row r="15" spans="1:7" x14ac:dyDescent="0.45">
      <c r="A15" s="1"/>
      <c r="B15" s="83" t="s">
        <v>128</v>
      </c>
      <c r="C15" s="83"/>
      <c r="D15" s="83"/>
      <c r="E15" s="8">
        <v>0</v>
      </c>
      <c r="F15" s="41" t="s">
        <v>3</v>
      </c>
      <c r="G15" s="1"/>
    </row>
    <row r="16" spans="1:7" x14ac:dyDescent="0.45">
      <c r="A16" s="1"/>
      <c r="B16" s="84" t="s">
        <v>85</v>
      </c>
      <c r="C16" s="84"/>
      <c r="D16" s="84"/>
      <c r="E16" s="9">
        <f>E15-E14</f>
        <v>0</v>
      </c>
      <c r="F16" s="32" t="s">
        <v>3</v>
      </c>
      <c r="G16" s="1"/>
    </row>
    <row r="17" spans="1:7" x14ac:dyDescent="0.45">
      <c r="A17" s="1"/>
      <c r="B17" s="31" t="s">
        <v>129</v>
      </c>
      <c r="C17" s="31"/>
      <c r="D17" s="31"/>
      <c r="E17" s="10">
        <f>E12+E16</f>
        <v>0</v>
      </c>
      <c r="F17" s="11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2020-10-13T07:39:29Z</dcterms:modified>
</cp:coreProperties>
</file>