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Mølleåværket AS (S069)\ØR2025\"/>
    </mc:Choice>
  </mc:AlternateContent>
  <xr:revisionPtr revIDLastSave="0" documentId="13_ncr:1_{FD6A9D77-A45A-45A7-A586-A2C48C3BE63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<sst xmlns="http://schemas.openxmlformats.org/spreadsheetml/2006/main" count="553" uniqueCount="238">
  <si>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</si>
  <si>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</si>
  <si>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</si>
  <si>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</si>
  <si>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</si>
  <si>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</si>
  <si>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</si>
  <si>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</si>
  <si>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</si>
  <si>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</si>
  <si>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</si>
  <si>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</si>
  <si>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</si>
  <si>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</si>
  <si>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</si>
  <si>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</si>
  <si>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</si>
  <si>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</si>
  <si>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</si>
  <si>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</si>
  <si>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</si>
  <si>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</si>
  <si>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</si>
  <si>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</si>
  <si>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</si>
  <si>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</si>
  <si>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</si>
  <si>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</si>
  <si>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</si>
  <si>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</si>
  <si>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</si>
  <si>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</si>
  <si>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</si>
  <si>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</si>
  <si>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</si>
  <si>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</si>
  <si>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</si>
  <si>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</si>
  <si>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</si>
  <si>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</si>
  <si>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</si>
  <si>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</si>
  <si>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</si>
  <si>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</si>
  <si>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</si>
  <si>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</si>
  <si>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</si>
  <si>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</si>
  <si>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</si>
  <si>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</si>
  <si>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</si>
  <si>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</si>
  <si>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</si>
  <si>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</si>
  <si>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</si>
  <si>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</si>
  <si>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</si>
  <si>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</si>
  <si>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</si>
  <si>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</si>
  <si>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</si>
  <si>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</si>
  <si>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</si>
  <si>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</si>
  <si>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</si>
  <si>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</si>
  <si>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</si>
  <si>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</si>
  <si>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</si>
  <si>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</si>
  <si>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</si>
  <si>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</si>
  <si>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</si>
  <si>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</si>
  <si>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</si>
  <si>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</si>
  <si>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</si>
  <si>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</si>
  <si>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</si>
  <si>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</si>
  <si>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</si>
  <si>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</si>
  <si>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</si>
  <si>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</si>
  <si>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</si>
  <si>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</si>
  <si>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</si>
  <si>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</si>
  <si>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</si>
  <si>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</si>
  <si>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</si>
  <si>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</si>
  <si>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</si>
  <si>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</si>
  <si>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</si>
  <si>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</si>
  <si>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</si>
  <si>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</si>
  <si>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</si>
  <si>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</si>
  <si>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</si>
  <si>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</si>
  <si>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</si>
  <si>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</si>
  <si>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</si>
  <si>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</si>
  <si>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</si>
  <si>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</si>
  <si>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</si>
  <si>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</si>
  <si>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</si>
  <si>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</si>
  <si>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</si>
  <si>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</si>
  <si>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</si>
  <si>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</si>
  <si>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</si>
  <si>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</si>
  <si>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</si>
  <si>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</si>
  <si>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</si>
  <si>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</si>
  <si>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</si>
  <si>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</si>
  <si>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</si>
  <si>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</si>
  <si>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</si>
  <si>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</si>
  <si>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</si>
  <si>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</si>
  <si>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</si>
  <si>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</si>
  <si>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</si>
  <si>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</si>
  <si>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</si>
  <si>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</si>
  <si>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</si>
  <si>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</si>
  <si>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</si>
  <si>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</si>
  <si>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</si>
  <si>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</si>
  <si>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</si>
  <si>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</si>
  <si>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</si>
  <si>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</si>
  <si>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</si>
  <si>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</si>
  <si>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</si>
  <si>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</si>
  <si>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</si>
  <si>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</si>
  <si>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</si>
  <si>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</si>
  <si>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</si>
  <si>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</si>
  <si>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</si>
  <si>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</si>
  <si>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</si>
  <si>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</si>
  <si>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</si>
  <si>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</si>
  <si>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</si>
  <si>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</si>
  <si>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</si>
  <si>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</si>
  <si>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</si>
  <si>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</si>
  <si>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</si>
  <si>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</si>
  <si>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</si>
  <si>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</si>
  <si>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</si>
  <si>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</si>
  <si>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</si>
  <si>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</si>
  <si>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</si>
  <si>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</si>
  <si>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</si>
  <si>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</si>
  <si>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</si>
  <si>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</si>
  <si>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</si>
  <si>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</si>
  <si>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</si>
  <si>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</si>
  <si>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</si>
  <si>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</si>
  <si>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</si>
  <si>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</si>
  <si>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</si>
  <si>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</si>
  <si>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</si>
  <si>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</si>
  <si>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</si>
  <si>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</si>
  <si>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</si>
  <si>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</si>
  <si>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</si>
  <si>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</si>
  <si>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</si>
  <si>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</si>
  <si>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</si>
  <si>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</si>
  <si>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</si>
  <si>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</si>
  <si>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</si>
  <si>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</si>
  <si>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</si>
  <si>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</si>
  <si>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</si>
  <si>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</si>
  <si>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</si>
  <si>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</si>
  <si>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</si>
  <si>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</si>
  <si>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</si>
  <si>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</si>
  <si>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</si>
  <si>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</si>
  <si>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</si>
  <si>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</si>
  <si>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</si>
  <si>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</si>
  <si>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</si>
  <si>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</si>
  <si>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</si>
  <si>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</si>
  <si>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</si>
  <si>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</si>
  <si>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</si>
  <si>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</si>
  <si>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</si>
  <si>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Gebyr til Miljøstyrelsen</t>
  </si>
  <si>
    <t>Opgradering af membranrensning</t>
  </si>
  <si>
    <t>Udvidelse af forsyningsområde</t>
  </si>
  <si>
    <t>Ovnrevision</t>
  </si>
  <si>
    <t>Meromkostninger til polymer, ethanol og PIX118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</si>
</sst>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228</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A7deI4QPmBIkRqlfWtQyf4PfAcO1pPbtAGSM8aB9idy/B40mvQp2OmxhcsmrMddoyIqKwXjo5TXIwXz5pqNTzg==" saltValue="WGZkesVp15/FYciH92/Nr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229</v>
      </c>
      <c r="C10" s="73">
        <v>4878263.53</v>
      </c>
      <c r="D10" s="14" t="s">
        <v>3</v>
      </c>
      <c r="E10" s="1"/>
    </row>
    <row r="11" spans="1:5" ht="15" customHeight="1" x14ac:dyDescent="0.25">
      <c r="A11" s="1"/>
      <c r="B11" s="72" t="s">
        <v>230</v>
      </c>
      <c r="C11" s="73">
        <v>147621</v>
      </c>
      <c r="D11" s="14" t="s">
        <v>3</v>
      </c>
      <c r="E11" s="1"/>
    </row>
    <row r="12" spans="1:5" ht="25.5" x14ac:dyDescent="0.25">
      <c r="A12" s="1"/>
      <c r="B12" s="72" t="s">
        <v>231</v>
      </c>
      <c r="C12" s="73">
        <v>248779.7</v>
      </c>
      <c r="D12" s="14" t="s">
        <v>3</v>
      </c>
      <c r="E12" s="1"/>
    </row>
    <row r="13" spans="1:5" x14ac:dyDescent="0.25">
      <c r="A13" s="1"/>
      <c r="B13" s="72" t="s">
        <v>232</v>
      </c>
      <c r="C13" s="73">
        <v>891767.21</v>
      </c>
      <c r="D13" s="14" t="s">
        <v>3</v>
      </c>
      <c r="E13" s="1"/>
    </row>
    <row r="14" spans="1:5" x14ac:dyDescent="0.25">
      <c r="A14" s="1"/>
      <c r="B14" s="72" t="s">
        <v>233</v>
      </c>
      <c r="C14" s="73">
        <v>20160</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6186591.4400000004</v>
      </c>
      <c r="D20" s="13" t="s">
        <v>3</v>
      </c>
      <c r="E20" s="1"/>
    </row>
    <row r="21" spans="1:5" x14ac:dyDescent="0.25">
      <c r="A21" s="1"/>
      <c r="B21" s="33" t="s">
        <v>168</v>
      </c>
      <c r="C21" s="12">
        <f>C20*(1+'Fane 15. Nøgletal'!C10)^2</f>
        <v>7034127.8030708944</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pj9E0u5LaLR/R75ufss+15Jx+C8C5cZNPbyu4CwI4BJ35MHGd+/Suhae0vYiYPfgQ4WkVXcsUFGeEIU+OgQqUQ==" saltValue="uu+zAJEKm6nDx1CnKaHed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09" t="s">
        <v>77</v>
      </c>
      <c r="C8" s="110"/>
      <c r="D8" s="111"/>
      <c r="E8" s="1"/>
    </row>
    <row r="9" spans="1:5" x14ac:dyDescent="0.25">
      <c r="A9" s="1"/>
      <c r="B9" s="65" t="s">
        <v>204</v>
      </c>
      <c r="C9" s="9">
        <v>171170.43381679803</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7" t="s">
        <v>205</v>
      </c>
      <c r="C19" s="78"/>
      <c r="D19" s="79"/>
      <c r="E19" s="1"/>
    </row>
    <row r="20" spans="1:5" x14ac:dyDescent="0.25">
      <c r="A20" s="1"/>
      <c r="B20" s="65" t="s">
        <v>206</v>
      </c>
      <c r="C20" s="9">
        <v>59815757.82697174</v>
      </c>
      <c r="D20" s="14" t="s">
        <v>3</v>
      </c>
      <c r="E20" s="1"/>
    </row>
    <row r="21" spans="1:5" x14ac:dyDescent="0.25">
      <c r="A21" s="1"/>
      <c r="B21" s="65" t="s">
        <v>207</v>
      </c>
      <c r="C21" s="9">
        <v>56567409.859999999</v>
      </c>
      <c r="D21" s="14" t="s">
        <v>3</v>
      </c>
      <c r="E21" s="1"/>
    </row>
    <row r="22" spans="1:5" x14ac:dyDescent="0.25">
      <c r="A22" s="1"/>
      <c r="B22" s="65" t="s">
        <v>29</v>
      </c>
      <c r="C22" s="9">
        <v>0</v>
      </c>
      <c r="D22" s="14" t="s">
        <v>3</v>
      </c>
      <c r="E22" s="1"/>
    </row>
    <row r="23" spans="1:5" x14ac:dyDescent="0.25">
      <c r="A23" s="1"/>
      <c r="B23" s="83" t="s">
        <v>208</v>
      </c>
      <c r="C23" s="57">
        <f>C20-C21-C22</f>
        <v>3248347.9669717401</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3"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7XgttkoWjia/lhrRNny3oHi3yF57f4PQ+nHsi7v+sv6hHGq4z1r+o0XlprsQYqjX/ulPCvg9gtShFJglKhLbRg==" saltValue="LBY/6a7HvX7feWGfP1pNG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7"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PnilfqvdjE4TgDguC0ikCL7LeS0AJ/HRArQJ+Xs3OH0aCnODbokxAYfRqEVwNguau0jObO61VnJIyYACXoTXw==" saltValue="UzOFfPh3ck/xj3N3RDlO2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80" t="s">
        <v>217</v>
      </c>
      <c r="C9" s="7">
        <v>0</v>
      </c>
      <c r="D9" s="8" t="s">
        <v>3</v>
      </c>
      <c r="E9" s="1"/>
    </row>
    <row r="10" spans="1:5" ht="14.25" customHeight="1" x14ac:dyDescent="0.25">
      <c r="A10" s="1"/>
      <c r="B10" s="65" t="s">
        <v>172</v>
      </c>
      <c r="C10" s="7">
        <v>0</v>
      </c>
      <c r="D10" s="8" t="s">
        <v>3</v>
      </c>
      <c r="E10" s="1"/>
    </row>
    <row r="11" spans="1:5" ht="14.25" customHeight="1" x14ac:dyDescent="0.25">
      <c r="A11" s="1"/>
      <c r="B11" s="83" t="s">
        <v>48</v>
      </c>
      <c r="C11" s="10">
        <f>C10-C9</f>
        <v>0</v>
      </c>
      <c r="D11" s="11" t="s">
        <v>3</v>
      </c>
      <c r="E11" s="1"/>
    </row>
    <row r="12" spans="1:5" ht="14.25" customHeight="1" x14ac:dyDescent="0.25">
      <c r="A12" s="1"/>
      <c r="B12" s="109" t="s">
        <v>219</v>
      </c>
      <c r="C12" s="110"/>
      <c r="D12" s="111"/>
      <c r="E12" s="1"/>
    </row>
    <row r="13" spans="1:5" ht="26.25" x14ac:dyDescent="0.25">
      <c r="A13" s="1"/>
      <c r="B13" s="80" t="s">
        <v>218</v>
      </c>
      <c r="C13" s="7">
        <v>0</v>
      </c>
      <c r="D13" s="8" t="s">
        <v>3</v>
      </c>
      <c r="E13" s="1"/>
    </row>
    <row r="14" spans="1:5" ht="14.25" customHeight="1" x14ac:dyDescent="0.25">
      <c r="A14" s="1"/>
      <c r="B14" s="65" t="s">
        <v>173</v>
      </c>
      <c r="C14" s="7">
        <v>0</v>
      </c>
      <c r="D14" s="8" t="s">
        <v>3</v>
      </c>
      <c r="E14" s="1"/>
    </row>
    <row r="15" spans="1:5" ht="14.25" customHeight="1" x14ac:dyDescent="0.25">
      <c r="A15" s="1"/>
      <c r="B15" s="83"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8CJ/ZCj3lZNQpq7oldVY4+04Vwd/Cb4dBwG7M0urRN2FbFS6zukJMVsU2tMU8BScX5AqKUvVZI18pGV7pgKU0w==" saltValue="3yhl4wElIwT0beLwq4L4J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7" t="s">
        <v>221</v>
      </c>
      <c r="C11" s="78"/>
      <c r="D11" s="79"/>
      <c r="E11" s="79"/>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MSl3IpO6Qy3faUOaA3TyPrv4bGWQKNxTn8sOH+Nq4i/sfKw5YFU4B3d0hoM9Epwk6GsalzfOMN8juD67Ks8QrQ==" saltValue="YM3FMjCDxR6G9LdhwmDUU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0</v>
      </c>
      <c r="D11" s="14" t="s">
        <v>3</v>
      </c>
      <c r="E11" s="9">
        <v>1032677</v>
      </c>
      <c r="F11" s="14" t="s">
        <v>3</v>
      </c>
      <c r="G11" s="1"/>
    </row>
    <row r="12" spans="1:7" x14ac:dyDescent="0.25">
      <c r="A12" s="1"/>
      <c r="B12" s="24" t="s">
        <v>235</v>
      </c>
      <c r="C12" s="21">
        <v>1019563</v>
      </c>
      <c r="D12" s="14" t="s">
        <v>3</v>
      </c>
      <c r="E12" s="9">
        <v>0</v>
      </c>
      <c r="F12" s="14" t="s">
        <v>3</v>
      </c>
      <c r="G12" s="1"/>
    </row>
    <row r="13" spans="1:7" x14ac:dyDescent="0.25">
      <c r="A13" s="1"/>
      <c r="B13" s="24" t="s">
        <v>236</v>
      </c>
      <c r="C13" s="21">
        <v>2099939</v>
      </c>
      <c r="D13" s="14" t="s">
        <v>3</v>
      </c>
      <c r="E13" s="9">
        <v>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3119502</v>
      </c>
      <c r="D19" s="13" t="s">
        <v>3</v>
      </c>
      <c r="E19" s="12">
        <f>SUM(E10:E18)</f>
        <v>1032677</v>
      </c>
      <c r="F19" s="13" t="s">
        <v>3</v>
      </c>
      <c r="G19" s="1"/>
    </row>
    <row r="20" spans="1:7" x14ac:dyDescent="0.25">
      <c r="A20" s="1"/>
      <c r="B20" s="33" t="s">
        <v>175</v>
      </c>
      <c r="C20" s="12">
        <f>C19*(1+'Fane 15. Nøgletal'!C10)</f>
        <v>3326324.9826000002</v>
      </c>
      <c r="D20" s="13" t="s">
        <v>3</v>
      </c>
      <c r="E20" s="12">
        <f>E19*(1+'Fane 15. Nøgletal'!C10)</f>
        <v>1101143.4850999999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G3CR7BwDNGIpkrc28DpULmNt9DWnv58uFkmooiE7SOfQM+bZabpGoczcUGyhoZ4zlI+pn7YDqoP3Gj3MOcFbw==" saltValue="T4JCcq+hRuNETEzr02KaT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1" t="s">
        <v>17</v>
      </c>
      <c r="C9" s="83" t="s">
        <v>11</v>
      </c>
      <c r="D9" s="82"/>
      <c r="E9" s="83" t="s">
        <v>27</v>
      </c>
      <c r="F9" s="32"/>
      <c r="G9" s="1"/>
    </row>
    <row r="10" spans="1:7" ht="26.25" x14ac:dyDescent="0.25">
      <c r="A10" s="1"/>
      <c r="B10" s="70" t="s">
        <v>237</v>
      </c>
      <c r="C10" s="21">
        <v>3145000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3145000</v>
      </c>
      <c r="D13" s="13" t="s">
        <v>3</v>
      </c>
      <c r="E13" s="12">
        <f>SUM(E10:E12)</f>
        <v>0</v>
      </c>
      <c r="F13" s="13" t="s">
        <v>3</v>
      </c>
      <c r="G13" s="1"/>
    </row>
    <row r="14" spans="1:7" x14ac:dyDescent="0.25">
      <c r="A14" s="1"/>
      <c r="B14" s="33" t="s">
        <v>178</v>
      </c>
      <c r="C14" s="12">
        <f>C13*(1+'Fane 15. Nøgletal'!C10)^2</f>
        <v>3575851.4450500002</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TPOeFrhZODvrR2v7bX4g5qEwIpTFw2Juuij4B6pTIzF8md8EwILW16HAnCZ7goNH2sAnpv21pZjeoUHcLbkIA==" saltValue="hCX8q8Lq6gn++QNgNMMvn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7"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7"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7"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7"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39xKxy9GPQGL/BGne6vTQg8AWNh3xkqP6z9LKiZeWxUadnV9/Tv0lJyqlDuaGCBjpQEKtmb5W0dy95KJMF7Tsg==" saltValue="qY8r96yq8FcJE055dL9Yv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Box++gyJ99GCGVSh+XAVTxvEzcGcDCSSYzP1itxzLku9KGPv0r4qD2+Rpah/FbiRSGxzH77jzp+oc9S4j87HpA==" saltValue="EO15KcKz0hHlI6P8YPLBd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oqFDPiUMXpnyLzaez08peu2UFo8uWl06jB4OPVpI3sZlMgMEo5rMWumJiVJi8BCbGgk2BTCN+YeE1OUjN0MFA==" saltValue="10M0GtAtn/eITUqAiC10/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55738653.198170044</v>
      </c>
      <c r="D9" s="8" t="s">
        <v>3</v>
      </c>
      <c r="E9" s="1"/>
    </row>
    <row r="10" spans="1:5" ht="17.25" customHeight="1" x14ac:dyDescent="0.25">
      <c r="A10" s="1"/>
      <c r="B10" s="64" t="s">
        <v>35</v>
      </c>
      <c r="C10" s="7">
        <f>'Fane 11.1. Varige tillæg'!C20</f>
        <v>3326324.9826000002</v>
      </c>
      <c r="D10" s="8" t="s">
        <v>3</v>
      </c>
      <c r="E10" s="1"/>
    </row>
    <row r="11" spans="1:5" ht="17.25" customHeight="1" x14ac:dyDescent="0.25">
      <c r="A11" s="1"/>
      <c r="B11" s="64" t="s">
        <v>36</v>
      </c>
      <c r="C11" s="9">
        <f>'Fane 11.1. Varige tillæg'!E20</f>
        <v>1101143.4850999999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4797224.3378206491</v>
      </c>
      <c r="D16" s="8" t="s">
        <v>3</v>
      </c>
      <c r="E16" s="1"/>
    </row>
    <row r="17" spans="1:5" ht="17.25" customHeight="1" x14ac:dyDescent="0.25">
      <c r="A17" s="1"/>
      <c r="B17" s="64" t="s">
        <v>10</v>
      </c>
      <c r="C17" s="38">
        <f>-SUM(C9,C10:C16)*'Fane 5. Individuelt eff. krav'!C9</f>
        <v>-1031042.1663299066</v>
      </c>
      <c r="D17" s="8" t="s">
        <v>3</v>
      </c>
      <c r="E17" s="1"/>
    </row>
    <row r="18" spans="1:5" ht="17.25" customHeight="1" x14ac:dyDescent="0.25">
      <c r="A18" s="1"/>
      <c r="B18" s="64" t="s">
        <v>22</v>
      </c>
      <c r="C18" s="38">
        <f>-'Fane 4.1. Gen. krav - drift'!C17</f>
        <v>-723187.01581852464</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63209116.82154227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7034127.8030708944</v>
      </c>
      <c r="D22" s="11" t="s">
        <v>3</v>
      </c>
      <c r="E22" s="1"/>
    </row>
    <row r="23" spans="1:5" ht="15" customHeight="1" x14ac:dyDescent="0.25">
      <c r="A23" s="1"/>
      <c r="B23" s="33" t="s">
        <v>42</v>
      </c>
      <c r="C23" s="28"/>
      <c r="D23" s="19"/>
      <c r="E23" s="1"/>
    </row>
    <row r="24" spans="1:5" ht="15" customHeight="1" x14ac:dyDescent="0.25">
      <c r="A24" s="1"/>
      <c r="B24" s="83"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3575851.4450500002</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-128269.85718310266</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3447581.5878668977</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73690826.212480068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K4MZdBKO7VYXqRvnZsPW/Gct82hzY5+AByhjaFjANnLEH/4qXW18SyXU73lWHo5psjimSoBR/H6r+IJAZBwohg==" saltValue="/FEu3KeLksDPxw841r2fu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bp6bRZIDvXj99DqyrfPA7i843aDVAuhCB8O3EhPA+etgYsPIDDmYOGjq9SgEba+h+w4hgBzp2oWGBxN65TYYNA==" saltValue="Lrc7w+l4XmwghwvCflsBa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63209116.82154227</v>
      </c>
      <c r="D9" s="8" t="s">
        <v>3</v>
      </c>
      <c r="E9" s="1"/>
    </row>
    <row r="10" spans="1:5" ht="15" customHeight="1" x14ac:dyDescent="0.25">
      <c r="A10" s="1"/>
      <c r="B10" s="26" t="s">
        <v>19</v>
      </c>
      <c r="C10" s="7">
        <f>C9*'Fane 15. Nøgletal'!C10</f>
        <v>4190764.4452682524</v>
      </c>
      <c r="D10" s="8" t="s">
        <v>3</v>
      </c>
      <c r="E10" s="1"/>
    </row>
    <row r="11" spans="1:5" ht="15" customHeight="1" x14ac:dyDescent="0.25">
      <c r="A11" s="1"/>
      <c r="B11" s="26" t="s">
        <v>10</v>
      </c>
      <c r="C11" s="9">
        <f>-SUM(C9:C10)*'Fane 5. Individuelt eff. krav'!C9</f>
        <v>-1069712.7513684842</v>
      </c>
      <c r="D11" s="8" t="s">
        <v>3</v>
      </c>
      <c r="E11" s="1"/>
    </row>
    <row r="12" spans="1:5" ht="15" customHeight="1" x14ac:dyDescent="0.25">
      <c r="A12" s="1"/>
      <c r="B12" s="26" t="s">
        <v>22</v>
      </c>
      <c r="C12" s="9">
        <f>-'Fane 4.1. Gen. krav - drift'!C22</f>
        <v>-755711.62866794702</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65574456.886774085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7500490.4764144951</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73074947.36318858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kNQ7Pq1z5NKPzcCdgnL+3xRDDXgtWjzi+KDeiP+YSNuQijx88hl4poOIGQKIhKFdRUDh8O4xXzwG6NxIxEf1Q==" saltValue="YPHW/QO6g23s10f9/IWTT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65574456.886774085</v>
      </c>
      <c r="D9" s="8" t="s">
        <v>3</v>
      </c>
      <c r="E9" s="1"/>
    </row>
    <row r="10" spans="1:5" ht="15" customHeight="1" x14ac:dyDescent="0.25">
      <c r="A10" s="1"/>
      <c r="B10" s="26" t="s">
        <v>19</v>
      </c>
      <c r="C10" s="7">
        <f>SUM(C9:C9)*'Fane 15. Nøgletal'!C10</f>
        <v>4347586.4915931216</v>
      </c>
      <c r="D10" s="8" t="s">
        <v>3</v>
      </c>
      <c r="E10" s="1"/>
    </row>
    <row r="11" spans="1:5" ht="15" customHeight="1" x14ac:dyDescent="0.25">
      <c r="A11" s="1"/>
      <c r="B11" s="26" t="s">
        <v>10</v>
      </c>
      <c r="C11" s="9">
        <f>-SUM(C9:C10)*'Fane 5. Individuelt eff. krav'!C9</f>
        <v>-1109742.3318520214</v>
      </c>
      <c r="D11" s="8" t="s">
        <v>3</v>
      </c>
      <c r="E11" s="1"/>
    </row>
    <row r="12" spans="1:5" ht="15" customHeight="1" x14ac:dyDescent="0.25">
      <c r="A12" s="1"/>
      <c r="B12" s="26" t="s">
        <v>22</v>
      </c>
      <c r="C12" s="9">
        <f>-'Fane 4.1. Gen. krav - drift'!C27</f>
        <v>-789699.00345565937</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68022602.043059528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7997772.9950007759</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76020375.038060308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tl/ctuCQNE1bMhU1RTgflmGfEHyf2WmtKPzBp6D1jSbgA2/IsRBfT6iZWYKTJRhKN6GDY/HwUg15Qx4o6ASg==" saltValue="BkedQgJnNlsBt6+JbOW7e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68022602.043059528</v>
      </c>
      <c r="D9" s="8" t="s">
        <v>3</v>
      </c>
      <c r="E9" s="1"/>
    </row>
    <row r="10" spans="1:5" ht="15" customHeight="1" x14ac:dyDescent="0.25">
      <c r="A10" s="1"/>
      <c r="B10" s="26" t="s">
        <v>19</v>
      </c>
      <c r="C10" s="7">
        <f>SUM(C9:C9)*'Fane 15. Nøgletal'!C10</f>
        <v>4509898.5154548464</v>
      </c>
      <c r="D10" s="8" t="s">
        <v>3</v>
      </c>
      <c r="E10" s="1"/>
    </row>
    <row r="11" spans="1:5" ht="15" customHeight="1" x14ac:dyDescent="0.25">
      <c r="A11" s="1"/>
      <c r="B11" s="26" t="s">
        <v>10</v>
      </c>
      <c r="C11" s="9">
        <f>-SUM(C9:C10)*'Fane 5. Individuelt eff. krav'!C9</f>
        <v>-1151173.2554682018</v>
      </c>
      <c r="D11" s="8" t="s">
        <v>3</v>
      </c>
      <c r="E11" s="1"/>
    </row>
    <row r="12" spans="1:5" ht="15" customHeight="1" x14ac:dyDescent="0.25">
      <c r="A12" s="1"/>
      <c r="B12" s="26" t="s">
        <v>22</v>
      </c>
      <c r="C12" s="9">
        <f>-'Fane 4.1. Gen. krav - drift'!C32</f>
        <v>-825214.92643707409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70556112.376609087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8528025.3445693273</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79084137.721178412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2X6GWGPGU5G3AK0kQQ93Hs4Vd40p2yyFdVQqbysugF4PqZ8dTOp2+g6FqM+boSRVCCUUwMrxEbstU7ta/GrCw==" saltValue="udKPbgdTjG1F2nOSDE7bW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52740454.721829355</v>
      </c>
      <c r="D9" s="8" t="s">
        <v>3</v>
      </c>
      <c r="E9" s="1"/>
    </row>
    <row r="10" spans="1:5" ht="15" customHeight="1" x14ac:dyDescent="0.25">
      <c r="A10" s="1"/>
      <c r="B10" s="64" t="s">
        <v>35</v>
      </c>
      <c r="C10" s="7">
        <v>241864.66639999999</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4280971.4065689314</v>
      </c>
      <c r="D16" s="8" t="s">
        <v>3</v>
      </c>
      <c r="E16" s="1"/>
    </row>
    <row r="17" spans="1:5" ht="15" customHeight="1" x14ac:dyDescent="0.25">
      <c r="A17" s="1"/>
      <c r="B17" s="64" t="s">
        <v>10</v>
      </c>
      <c r="C17" s="38">
        <v>-908833.53497361403</v>
      </c>
      <c r="D17" s="8" t="s">
        <v>3</v>
      </c>
      <c r="E17" s="1"/>
    </row>
    <row r="18" spans="1:5" ht="15" customHeight="1" x14ac:dyDescent="0.25">
      <c r="A18" s="1"/>
      <c r="B18" s="64" t="s">
        <v>22</v>
      </c>
      <c r="C18" s="38">
        <v>-615804.06165462954</v>
      </c>
      <c r="D18" s="8" t="s">
        <v>3</v>
      </c>
      <c r="E18" s="1"/>
    </row>
    <row r="19" spans="1:5" ht="15" customHeight="1" x14ac:dyDescent="0.25">
      <c r="A19" s="1"/>
      <c r="B19" s="64" t="s">
        <v>23</v>
      </c>
      <c r="C19" s="38">
        <v>0</v>
      </c>
      <c r="D19" s="8" t="s">
        <v>3</v>
      </c>
      <c r="E19" s="43"/>
    </row>
    <row r="20" spans="1:5" ht="15" customHeight="1" x14ac:dyDescent="0.25">
      <c r="A20" s="1"/>
      <c r="B20" s="83" t="s">
        <v>21</v>
      </c>
      <c r="C20" s="10">
        <v>55738653.198170044</v>
      </c>
      <c r="D20" s="11" t="s">
        <v>3</v>
      </c>
      <c r="E20" s="1"/>
    </row>
    <row r="21" spans="1:5" ht="15" customHeight="1" x14ac:dyDescent="0.25">
      <c r="A21" s="1"/>
      <c r="B21" s="33" t="s">
        <v>12</v>
      </c>
      <c r="C21" s="28"/>
      <c r="D21" s="19"/>
      <c r="E21" s="1"/>
    </row>
    <row r="22" spans="1:5" ht="15" customHeight="1" x14ac:dyDescent="0.25">
      <c r="A22" s="1"/>
      <c r="B22" s="31" t="s">
        <v>12</v>
      </c>
      <c r="C22" s="10">
        <v>6923776.3587647425</v>
      </c>
      <c r="D22" s="11" t="s">
        <v>3</v>
      </c>
      <c r="E22" s="1"/>
    </row>
    <row r="23" spans="1:5" ht="15" customHeight="1" x14ac:dyDescent="0.25">
      <c r="A23" s="1"/>
      <c r="B23" s="33" t="s">
        <v>42</v>
      </c>
      <c r="C23" s="28"/>
      <c r="D23" s="19"/>
      <c r="E23" s="1"/>
    </row>
    <row r="24" spans="1:5" ht="15" customHeight="1" x14ac:dyDescent="0.25">
      <c r="A24" s="1"/>
      <c r="B24" s="83"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1165444.3580846167</v>
      </c>
      <c r="D38" s="11" t="s">
        <v>3</v>
      </c>
      <c r="E38" s="1"/>
    </row>
    <row r="39" spans="1:5" x14ac:dyDescent="0.25">
      <c r="A39" s="1"/>
      <c r="B39" s="33" t="s">
        <v>65</v>
      </c>
      <c r="C39" s="45">
        <v>63827873.915019408</v>
      </c>
      <c r="D39" s="30" t="s">
        <v>3</v>
      </c>
      <c r="E39" s="1"/>
    </row>
    <row r="40" spans="1:5" ht="30" customHeight="1" x14ac:dyDescent="0.25">
      <c r="A40" s="1"/>
      <c r="B40" s="107" t="s">
        <v>225</v>
      </c>
      <c r="C40" s="107"/>
      <c r="D40" s="107"/>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OGQWi3clB3X/vVz/S/SdZxSdy0zs8bqyrq1jCWfj8gEdhEnKssBi/0kXW+byAD3BvszHUuSk35jID9mH/eX/wg==" saltValue="f562+zqzype3/kzo3owIqw=="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09" t="s">
        <v>123</v>
      </c>
      <c r="C8" s="110"/>
      <c r="D8" s="111"/>
      <c r="E8" s="1"/>
    </row>
    <row r="9" spans="1:5" x14ac:dyDescent="0.25">
      <c r="A9" s="1"/>
      <c r="B9" s="65" t="s">
        <v>88</v>
      </c>
      <c r="C9" s="23">
        <v>30528795.751286358</v>
      </c>
      <c r="D9" s="14" t="s">
        <v>3</v>
      </c>
      <c r="E9" s="1"/>
    </row>
    <row r="10" spans="1:5" x14ac:dyDescent="0.25">
      <c r="A10" s="1"/>
      <c r="B10" s="65" t="s">
        <v>125</v>
      </c>
      <c r="C10" s="23">
        <f>('Fane 3. Omkostninger i ØR2024'!C10+'Fane 3. Omkostninger i ØR2024'!C12+'Fane 3. Omkostninger i ØR2024'!C14)*(1+'Fane 15. Nøgletal'!C9)</f>
        <v>261407.33144511998</v>
      </c>
      <c r="D10" s="14" t="s">
        <v>3</v>
      </c>
      <c r="E10" s="1"/>
    </row>
    <row r="11" spans="1:5" x14ac:dyDescent="0.25">
      <c r="A11" s="1"/>
      <c r="B11" s="65" t="s">
        <v>131</v>
      </c>
      <c r="C11" s="23">
        <f>C9*'Fane 15. Nøgletal'!C21+C10*'Fane 15. Nøgletal'!C21</f>
        <v>615804.06165462954</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32612490.461979855</v>
      </c>
      <c r="D15" s="14" t="s">
        <v>3</v>
      </c>
      <c r="E15" s="1"/>
    </row>
    <row r="16" spans="1:5" x14ac:dyDescent="0.25">
      <c r="A16" s="1"/>
      <c r="B16" s="65" t="s">
        <v>184</v>
      </c>
      <c r="C16" s="23">
        <f>('Fane 2.1. Økonomisk ramme 2025'!C10+'Fane 2.1. Økonomisk ramme 2025'!C12+'Fane 2.1. Økonomisk ramme 2025'!C14)*(1+'Fane 15. Nøgletal'!C10)</f>
        <v>3546860.3289463804</v>
      </c>
      <c r="D16" s="14" t="s">
        <v>3</v>
      </c>
      <c r="E16" s="1"/>
    </row>
    <row r="17" spans="1:5" x14ac:dyDescent="0.25">
      <c r="A17" s="1"/>
      <c r="B17" s="65" t="s">
        <v>132</v>
      </c>
      <c r="C17" s="23">
        <f>C15*'Fane 15. Nøgletal'!C21+C16*'Fane 15. Nøgletal'!C21</f>
        <v>723187.01581852464</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37785581.433397353</v>
      </c>
      <c r="D21" s="14" t="s">
        <v>3</v>
      </c>
      <c r="E21" s="1"/>
    </row>
    <row r="22" spans="1:5" x14ac:dyDescent="0.25">
      <c r="A22" s="1"/>
      <c r="B22" s="65" t="s">
        <v>196</v>
      </c>
      <c r="C22" s="23">
        <f>C21*'Fane 15. Nøgletal'!C21</f>
        <v>755711.62866794702</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39484950.172782965</v>
      </c>
      <c r="D26" s="14" t="s">
        <v>3</v>
      </c>
      <c r="E26" s="1"/>
    </row>
    <row r="27" spans="1:5" x14ac:dyDescent="0.25">
      <c r="A27" s="1"/>
      <c r="B27" s="65" t="s">
        <v>194</v>
      </c>
      <c r="C27" s="23">
        <f>C26*'Fane 15. Nøgletal'!C21</f>
        <v>789699.00345565937</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41260746.321853705</v>
      </c>
      <c r="D31" s="14" t="s">
        <v>3</v>
      </c>
      <c r="E31" s="1"/>
    </row>
    <row r="32" spans="1:5" x14ac:dyDescent="0.25">
      <c r="A32" s="1"/>
      <c r="B32" s="65" t="s">
        <v>195</v>
      </c>
      <c r="C32" s="23">
        <f>C31*'Fane 15. Nøgletal'!C21</f>
        <v>825214.92643707409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R6/73UH6vxzwpyDUTLeRyzuE1RX/3ic+LjFE4FLubMyJL3/Pc4UG5hgtrowEFBXnTmhfg+8mQXGGY4ZAejksw==" saltValue="+HAhnRYEsyDhsQKBGQWs1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30195138.269985851</v>
      </c>
      <c r="D9" s="14" t="s">
        <v>3</v>
      </c>
      <c r="E9" s="1"/>
    </row>
    <row r="10" spans="1:5" x14ac:dyDescent="0.25">
      <c r="A10" s="1"/>
      <c r="B10" s="65" t="s">
        <v>126</v>
      </c>
      <c r="C10" s="74">
        <f>('Fane 3. Omkostninger i ØR2024'!C11+'Fane 3. Omkostninger i ØR2024'!C13+'Fane 3. Omkostninger i ØR2024'!C15)*(1+'Fane 15. Nøgletal'!C9)</f>
        <v>0</v>
      </c>
      <c r="D10" s="14" t="s">
        <v>3</v>
      </c>
      <c r="E10" s="1"/>
    </row>
    <row r="11" spans="1:5" x14ac:dyDescent="0.25">
      <c r="A11" s="1"/>
      <c r="B11" s="65" t="s">
        <v>135</v>
      </c>
      <c r="C11" s="7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32634905.442200705</v>
      </c>
      <c r="D15" s="14" t="s">
        <v>3</v>
      </c>
      <c r="E15" s="1"/>
    </row>
    <row r="16" spans="1:5" x14ac:dyDescent="0.25">
      <c r="A16" s="1"/>
      <c r="B16" s="65" t="s">
        <v>185</v>
      </c>
      <c r="C16" s="23">
        <f>('Fane 2.1. Økonomisk ramme 2025'!C11+'Fane 2.1. Økonomisk ramme 2025'!C13+'Fane 2.1. Økonomisk ramme 2025'!C15)*(1+'Fane 15. Nøgletal'!C10)</f>
        <v>1174149.2981621299</v>
      </c>
      <c r="D16" s="14" t="s">
        <v>3</v>
      </c>
      <c r="E16" s="1"/>
    </row>
    <row r="17" spans="1:5" x14ac:dyDescent="0.25">
      <c r="A17" s="1"/>
      <c r="B17" s="65" t="s">
        <v>137</v>
      </c>
      <c r="C17" s="7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36050595.069648892</v>
      </c>
      <c r="D21" s="14" t="s">
        <v>3</v>
      </c>
      <c r="E21" s="1"/>
    </row>
    <row r="22" spans="1:5" x14ac:dyDescent="0.25">
      <c r="A22" s="1"/>
      <c r="B22" s="65" t="s">
        <v>197</v>
      </c>
      <c r="C22" s="7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38440749.522766612</v>
      </c>
      <c r="D26" s="14" t="s">
        <v>3</v>
      </c>
      <c r="E26" s="1"/>
    </row>
    <row r="27" spans="1:5" x14ac:dyDescent="0.25">
      <c r="A27" s="1"/>
      <c r="B27" s="65" t="s">
        <v>198</v>
      </c>
      <c r="C27" s="7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40989371.21612604</v>
      </c>
      <c r="D31" s="14" t="s">
        <v>3</v>
      </c>
      <c r="E31" s="1"/>
    </row>
    <row r="32" spans="1:5" x14ac:dyDescent="0.25">
      <c r="A32" s="1"/>
      <c r="B32" s="65" t="s">
        <v>199</v>
      </c>
      <c r="C32" s="7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SiZEroAPlYd78oybnbmTaNQjWqnts8JU10pHhTEhajhdrL63f2OeUSbNwCgWPVDmUdFpnfSSTl8/+6FKgRVKw==" saltValue="sKta7nsWnA/yPolNYi8BY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1.5871137029661787E-2</v>
      </c>
      <c r="D9" s="1"/>
    </row>
    <row r="10" spans="1:4" x14ac:dyDescent="0.25">
      <c r="A10" s="1"/>
      <c r="B10" s="33"/>
      <c r="C10" s="19"/>
      <c r="D10" s="1"/>
    </row>
    <row r="11" spans="1:4" x14ac:dyDescent="0.25">
      <c r="A11" s="1"/>
      <c r="B11" s="113" t="s">
        <v>220</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TJZsIuvwOajDatqU+jmDnKVWOzArIxrbg1rTD4EzP73kXzQHkpQZJ5l78mamFuYnbidwO+dn0aCBwUAe+K30sg==" saltValue="q+t5qxE0OXgJ8n+82TuwI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2024-10-11T10:45:06Z</dcterms:modified>
</cp:coreProperties>
</file>