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codeName="Denne_projektmappe" defaultThemeVersion="124226"/>
  <mc:AlternateContent xmlns:mc="http://schemas.openxmlformats.org/markup-compatibility/2006">
    <mc:Choice Requires="x15">
      <x15ac:absPath xmlns:x15ac="http://schemas.microsoft.com/office/spreadsheetml/2010/11/ac" url="E:\VAND\Sagsbehandling\Drikkevand\NFS Vand AS (V136)\ØR2024\"/>
    </mc:Choice>
  </mc:AlternateContent>
  <xr:revisionPtr revIDLastSave="0" documentId="13_ncr:1_{E76B559D-2640-44B2-BE12-6184BA20B3CD}"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 name="Tabel_Fane_11">'Fane 11. Tilknyttet virksomhed'!$B$8:$F$14</definedName>
    <definedName name="Tabel_Fane_12">'Fane 12. Bortfald'!$B$10:$F$14</definedName>
    <definedName name="Tabel_Fane_2_1">'Fane 2.1. Økonomisk ramme 2024'!$B$7:$D$33</definedName>
    <definedName name="Tabel_Fane_2_2">'Fane 2.2. Økonomisk ramme 2025'!$B$7:$D$20</definedName>
    <definedName name="Tabel_Fane_2_3">'Fane 2.3. Økonomisk ramme 2026'!$B$7:$D$20</definedName>
    <definedName name="Tabel_Fane_2_4">'Fane 2.4. Økonomisk ramme 2027'!$B$7:$D$20</definedName>
    <definedName name="Tabel_Fane_3">'Fane 3. Omkostninger i ØR2023'!$B$7:$D$33</definedName>
  </definedNames>
  <calcPr calcId="191029"/>
</workbook>
</file>

<file path=xl/calcChain.xml><?xml version="1.0" encoding="utf-8"?>
<calcChain xmlns="http://schemas.openxmlformats.org/spreadsheetml/2006/main">
  <c r="C17" i="22" l="1"/>
  <c r="C17" i="15"/>
  <c r="C29" i="2"/>
  <c r="E23" i="41"/>
  <c r="E31" i="41" s="1"/>
  <c r="E33" i="41" s="1"/>
  <c r="E27" i="41" l="1"/>
  <c r="C8" i="2"/>
  <c r="C13" i="29" l="1"/>
  <c r="C14" i="29" s="1"/>
  <c r="E14" i="39" l="1"/>
  <c r="C14" i="39"/>
  <c r="C31" i="2" l="1"/>
  <c r="E15" i="39" l="1"/>
  <c r="C15" i="39"/>
  <c r="J11" i="11"/>
  <c r="H11" i="11"/>
  <c r="F10" i="11" l="1"/>
  <c r="F11" i="11" s="1"/>
  <c r="C19" i="23" l="1"/>
  <c r="C19" i="22"/>
  <c r="C19" i="15"/>
  <c r="G18" i="40"/>
  <c r="E13" i="29" l="1"/>
  <c r="C19" i="19"/>
  <c r="C20" i="19" s="1"/>
  <c r="C15" i="23" l="1"/>
  <c r="C15" i="15"/>
  <c r="C15" i="22"/>
  <c r="E14" i="29"/>
  <c r="C14" i="2" s="1"/>
  <c r="E10" i="37"/>
  <c r="E17" i="37" s="1"/>
  <c r="E18" i="37" s="1"/>
  <c r="C10" i="37"/>
  <c r="C17" i="37" s="1"/>
  <c r="C18" i="37" s="1"/>
  <c r="G6" i="30" l="1"/>
  <c r="C23" i="2" l="1"/>
  <c r="C25" i="2" s="1"/>
  <c r="G10" i="30" l="1"/>
  <c r="G12" i="30" s="1"/>
  <c r="C10" i="2" l="1"/>
  <c r="E13" i="21"/>
  <c r="E14" i="21" s="1"/>
  <c r="C13" i="21"/>
  <c r="C14" i="21" s="1"/>
  <c r="C11" i="2" l="1"/>
  <c r="C12" i="2"/>
  <c r="G48" i="36" s="1"/>
  <c r="C24" i="2" l="1"/>
  <c r="C26" i="2" s="1"/>
  <c r="C27" i="2" l="1"/>
  <c r="G6" i="36"/>
  <c r="G10" i="36" s="1"/>
  <c r="G12" i="36" l="1"/>
  <c r="G16" i="36" s="1"/>
  <c r="G16" i="30"/>
  <c r="G19" i="30" s="1"/>
  <c r="G19" i="36" l="1"/>
  <c r="G23" i="30"/>
  <c r="G25" i="30" s="1"/>
  <c r="G23" i="36" l="1"/>
  <c r="G25" i="36" s="1"/>
  <c r="G29" i="36" s="1"/>
  <c r="G29" i="30"/>
  <c r="G31" i="30" s="1"/>
  <c r="G31" i="36" l="1"/>
  <c r="G35" i="36" s="1"/>
  <c r="G35" i="30" l="1"/>
  <c r="G37" i="30" l="1"/>
  <c r="G41" i="30" s="1"/>
  <c r="C9" i="2"/>
  <c r="C13" i="2"/>
  <c r="G48" i="30" l="1"/>
  <c r="C21" i="2"/>
  <c r="G43" i="30" l="1"/>
  <c r="G47" i="30" s="1"/>
  <c r="G49" i="30" l="1"/>
  <c r="C17" i="2" s="1"/>
  <c r="G37" i="36"/>
  <c r="G41" i="36" s="1"/>
  <c r="G53" i="30" l="1"/>
  <c r="G54" i="30" s="1"/>
  <c r="G43" i="36"/>
  <c r="G47" i="36" s="1"/>
  <c r="G58" i="30" l="1"/>
  <c r="G59" i="30" s="1"/>
  <c r="C11" i="15"/>
  <c r="G49" i="36"/>
  <c r="C18" i="2" s="1"/>
  <c r="C15" i="2"/>
  <c r="G53" i="36" l="1"/>
  <c r="G54" i="36" s="1"/>
  <c r="G63" i="30"/>
  <c r="G64" i="30" s="1"/>
  <c r="C11" i="23" s="1"/>
  <c r="C11" i="22"/>
  <c r="C16" i="2"/>
  <c r="C19" i="2" s="1"/>
  <c r="C32" i="2" l="1"/>
  <c r="G58" i="36"/>
  <c r="G59" i="36" s="1"/>
  <c r="C12" i="22" s="1"/>
  <c r="C12" i="15"/>
  <c r="C8" i="15" l="1"/>
  <c r="C9" i="15" s="1"/>
  <c r="C10" i="15" s="1"/>
  <c r="G63" i="36"/>
  <c r="G64" i="36" s="1"/>
  <c r="C12" i="23" s="1"/>
  <c r="C13" i="15" l="1"/>
  <c r="C20" i="15" s="1"/>
  <c r="C8" i="22" l="1"/>
  <c r="C9" i="22" s="1"/>
  <c r="C10" i="22" s="1"/>
  <c r="C13" i="22" s="1"/>
  <c r="C20" i="22" s="1"/>
  <c r="C8" i="23" l="1"/>
  <c r="C9" i="23" l="1"/>
  <c r="C10" i="23" s="1"/>
  <c r="C13" i="23" s="1"/>
  <c r="C20" i="23" s="1"/>
</calcChain>
</file>

<file path=xl/sharedStrings.xml><?xml version="1.0" encoding="utf-8"?>
<sst xmlns="http://schemas.openxmlformats.org/spreadsheetml/2006/main" count="548" uniqueCount="261">
  <si>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</si>
  <si>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</si>
  <si>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</si>
  <si>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</si>
  <si>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</si>
  <si>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</si>
  <si>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</si>
  <si>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</si>
  <si>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</si>
  <si>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</si>
  <si>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</si>
  <si>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</si>
  <si>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</si>
  <si>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</si>
  <si>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</si>
  <si>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</si>
  <si>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</si>
  <si>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</si>
  <si>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</si>
  <si>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</si>
  <si>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</si>
  <si>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</si>
  <si>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</si>
  <si>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</si>
  <si>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</si>
  <si>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</si>
  <si>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</si>
  <si>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</si>
  <si>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</si>
  <si>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</si>
  <si>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</si>
  <si>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</si>
  <si>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</si>
  <si>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</si>
  <si>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</si>
  <si>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</si>
  <si>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</si>
  <si>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</si>
  <si>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</si>
  <si>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</si>
  <si>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</si>
  <si>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</si>
  <si>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</si>
  <si>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</si>
  <si>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</si>
  <si>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</si>
  <si>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</si>
  <si>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</si>
  <si>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</si>
  <si>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</si>
  <si>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</si>
  <si>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</si>
  <si>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</si>
  <si>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</si>
  <si>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</si>
  <si>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</si>
  <si>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</si>
  <si>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</si>
  <si>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</si>
  <si>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</si>
  <si>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</si>
  <si>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</si>
  <si>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</si>
  <si>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</si>
  <si>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</si>
  <si>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</si>
  <si>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</si>
  <si>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</si>
  <si>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</si>
  <si>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</si>
  <si>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</si>
  <si>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</si>
  <si>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</si>
  <si>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</si>
  <si>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</si>
  <si>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</si>
  <si>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</si>
  <si>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</si>
  <si>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</si>
  <si>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</si>
  <si>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</si>
  <si>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</si>
  <si>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</si>
  <si>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</si>
  <si>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</si>
  <si>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</si>
  <si>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</si>
  <si>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</si>
  <si>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</si>
  <si>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</si>
  <si>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</si>
  <si>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</si>
  <si>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</si>
  <si>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</si>
  <si>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</si>
  <si>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</si>
  <si>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</si>
  <si>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</si>
  <si>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</si>
  <si>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</si>
  <si>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</si>
  <si>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</si>
  <si>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</si>
  <si>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</si>
  <si>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</si>
  <si>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</si>
  <si>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</si>
  <si>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</si>
  <si>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</si>
  <si>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</si>
  <si>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</si>
  <si>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Generelt effektiviseringskrav til brug for nye anlægsomkostninger i ØR2021</t>
  </si>
  <si>
    <t>Base for driftsomkostninger til de vejledende økonomiske rammer for 2024</t>
  </si>
  <si>
    <t>Nye anlægsomkostninger til de økonomiske rammer for 2021</t>
  </si>
  <si>
    <t>Base for anlægsomkostninger til de vejledende økonomiske rammer for 2024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</si>
  <si>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</si>
  <si>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</si>
  <si>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</si>
  <si>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</si>
  <si>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</si>
  <si>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</si>
  <si>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</si>
  <si>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</si>
  <si>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</si>
  <si>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</si>
  <si>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</si>
  <si>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</si>
  <si>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</si>
  <si>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</si>
  <si>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</si>
  <si>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</si>
  <si>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</si>
  <si>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</si>
  <si>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</si>
  <si>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</si>
  <si>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</si>
  <si>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Prisudvikling til brug for nye omkostninger i ØR2022</t>
  </si>
  <si>
    <t>Generelt effektiviseringskrav til brug for nye anlægsomkostninger i ØR2022</t>
  </si>
  <si>
    <t xml:space="preserve">Indtægter fra tilbagebetalt skat eller sambeskatningsbidrag som følge af skattesagen </t>
  </si>
  <si>
    <t xml:space="preserve">Nedsættelse af økonomisk ramme som følge af skattesagen </t>
  </si>
  <si>
    <t>Allerede indregnet fradrag i jeres økonomiske rammer</t>
  </si>
  <si>
    <t>Vejledende økonomisk ramme for 2026</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</si>
  <si>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</si>
  <si>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</si>
  <si>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</si>
  <si>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</si>
  <si>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</si>
  <si>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</si>
  <si>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</si>
  <si>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</si>
  <si>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</si>
  <si>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</si>
  <si>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</si>
  <si>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</si>
  <si>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</si>
  <si>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</si>
  <si>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</si>
  <si>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</si>
  <si>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</si>
  <si>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</si>
  <si>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</si>
  <si>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</si>
  <si>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</si>
  <si>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</si>
  <si>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</si>
  <si>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</si>
  <si>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</si>
  <si>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</si>
  <si>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</si>
  <si>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</si>
  <si>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</si>
  <si>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</si>
  <si>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</si>
  <si>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</si>
  <si>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</si>
  <si>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</si>
  <si>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</si>
  <si>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</si>
  <si>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</si>
  <si>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</si>
  <si>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</si>
  <si>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</si>
  <si>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</si>
  <si>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</si>
  <si>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</si>
  <si>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</si>
  <si>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</si>
  <si>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</si>
  <si>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</si>
  <si>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</si>
  <si>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</si>
  <si>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</si>
  <si>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</si>
  <si>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</si>
  <si>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</si>
  <si>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</si>
  <si>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</si>
  <si>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</si>
  <si>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</si>
  <si>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</si>
  <si>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</si>
  <si>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3: Videreførte omkostninger fra den økonomiske ramme for 2023</t>
  </si>
  <si>
    <t>Oversigt over den økonomiske ramme for 2023</t>
  </si>
  <si>
    <t>Videreførte omkostninger fra den økonomiske ramme for 2026</t>
  </si>
  <si>
    <t>Fane 2.4: Samlet økonomisk ramme for 2027</t>
  </si>
  <si>
    <t>Økonomisk ramme for 2027</t>
  </si>
  <si>
    <t>Nye varige driftsomkostninger til de økonomiske rammer for 2024</t>
  </si>
  <si>
    <t>Prisudvikling til brug for nye omkostninger i ØR2024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</si>
  <si>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</si>
  <si>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</si>
  <si>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</si>
  <si>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</si>
  <si>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Omkostninger i 2022</t>
  </si>
  <si>
    <t>Ikke-påvirkelige omkostninger i 2022-prisniveau</t>
  </si>
  <si>
    <t>Ikke-påvirkelige omkostninger i 2024-prisniveau</t>
  </si>
  <si>
    <t>Omkostninger til § 19-tillæg i alt - 2022 prisniveau</t>
  </si>
  <si>
    <t>Tilknyttet virksomhed under hovedvirksomheden i alt (2023-prisniveau)</t>
  </si>
  <si>
    <t>Engangstillæg til de økonomiske rammer for 2024</t>
  </si>
  <si>
    <t>Engangstillæg i alt i 2022-prisniveau</t>
  </si>
  <si>
    <t>Engangstillæg i alt i 2024-prisniveau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</si>
  <si>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</si>
  <si>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</si>
  <si>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</si>
  <si>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</si>
  <si>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</si>
  <si>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</si>
  <si>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Faktiske ikke-påvirkelige omkostninger i 2022</t>
  </si>
  <si>
    <t>Fane 7: Kontrol med overholdelse af den økonomiske ramme for 2022</t>
  </si>
  <si>
    <t>Nye varige driftsomkostninger til de økonomiske rammer for 2018</t>
  </si>
  <si>
    <t>Nye varige driftsomkostninger til de økonomiske rammer for 2019</t>
  </si>
  <si>
    <t>Nye varige driftsomkostninger til de økonomiske rammer for 2020</t>
  </si>
  <si>
    <t>Nye varige driftsomkostninger til de økonomiske rammer for 2021</t>
  </si>
  <si>
    <t>Nye varige driftsomkostninger til de økonomiske rammer for 2022</t>
  </si>
  <si>
    <t>Bortfald eller nedsættelse i alt i 2023-prisniveau</t>
  </si>
  <si>
    <t>Fradrag i den økonomiske ramme i årene</t>
  </si>
  <si>
    <t>Til statusmeddelelse for 2024</t>
  </si>
  <si>
    <t xml:space="preserve">Note: Denne opgørelse er taget fra jeres afgørelse om økonomiske rammer for 2023-2024. I kan derfor ikke komme med høringssvar til denne opgørelse. </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</si>
  <si>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</si>
  <si>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</si>
  <si>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</si>
  <si>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</si>
  <si>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</si>
  <si>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</si>
  <si>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Øgede vandmændger</t>
  </si>
  <si>
    <t>Ingen engangstillæg</t>
  </si>
  <si>
    <t>Afgift for ledningsført vand</t>
  </si>
  <si>
    <t>Afgift til Forsyningssekretariatet</t>
  </si>
  <si>
    <t>Ejendomsskat</t>
  </si>
  <si>
    <t>Tidligere opgjorte over/underdækninger</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</si>
  <si>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</si>
  <si>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</si>
  <si>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Indregnet fradrag i økonomisk ramme for 2023</t>
  </si>
  <si>
    <t>Indregnet fradrag i økonomisk ramme for 2024</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</si>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</sst>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7">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0" fontId="8" fillId="8" borderId="2" xfId="0" quotePrefix="1" applyFont="1" applyFill="1" applyBorder="1" applyAlignment="1" applyProtection="1">
      <alignment wrapText="1"/>
    </xf>
    <xf numFmtId="0" fontId="8" fillId="4" borderId="3" xfId="0" applyFont="1" applyFill="1" applyBorder="1" applyAlignment="1" applyProtection="1">
      <alignment wrapText="1"/>
    </xf>
    <xf numFmtId="1" fontId="8" fillId="0" borderId="1" xfId="0" applyNumberFormat="1" applyFont="1" applyFill="1" applyBorder="1" applyProtection="1"/>
    <xf numFmtId="0" fontId="8" fillId="4"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0" fillId="0" borderId="0" xfId="0" applyFill="1" applyProtection="1"/>
    <xf numFmtId="3" fontId="8" fillId="0" borderId="1" xfId="0" applyNumberFormat="1" applyFont="1" applyFill="1" applyBorder="1" applyProtection="1"/>
    <xf numFmtId="0" fontId="0" fillId="0" borderId="0" xfId="0" applyFill="1" applyAlignment="1" applyProtection="1">
      <alignment horizontal="right"/>
    </xf>
    <xf numFmtId="166" fontId="8" fillId="8" borderId="1" xfId="1" applyNumberFormat="1" applyFont="1" applyFill="1" applyBorder="1" applyProtection="1"/>
    <xf numFmtId="166" fontId="8" fillId="8"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1" fontId="8" fillId="8" borderId="1" xfId="1" applyNumberFormat="1" applyFont="1" applyFill="1" applyBorder="1" applyProtection="1"/>
    <xf numFmtId="1" fontId="8" fillId="4" borderId="1" xfId="1" applyNumberFormat="1" applyFont="1" applyFill="1" applyBorder="1" applyProtection="1"/>
    <xf numFmtId="49" fontId="8" fillId="8" borderId="2" xfId="0" applyNumberFormat="1" applyFont="1" applyFill="1" applyBorder="1" applyAlignment="1" applyProtection="1">
      <alignment wrapText="1"/>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1"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7"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10" fontId="8" fillId="0" borderId="0" xfId="0" applyNumberFormat="1" applyFont="1" applyFill="1" applyBorder="1" applyProtection="1"/>
  </cellXfs>
  <cellStyles count="5">
    <cellStyle name="Komma" xfId="1" builtinId="3"/>
    <cellStyle name="Link" xfId="2" builtinId="8"/>
    <cellStyle name="Normal" xfId="0" builtinId="0"/>
    <cellStyle name="Normal 12" xfId="3" xr:uid="{00000000-0005-0000-0000-000003000000}"/>
    <cellStyle name="Procent" xfId="4" builtinId="5"/>
  </cellStyles>
  <dxfs count="1">
    <dxf>
      <fill>
        <patternFill>
          <bgColor rgb="FF00B0F0"/>
        </patternFill>
      </fill>
    </dxf>
  </dxfs>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4-27"/>
      <sheetName val="ØR23-26"/>
      <sheetName val="ØR22-25"/>
      <sheetName val="ØR21-24"/>
      <sheetName val="ØR20-23"/>
      <sheetName val="ØR19-22"/>
      <sheetName val="ØR18"/>
      <sheetName val="ØR17-20"/>
      <sheetName val="Nøgletal"/>
      <sheetName val="Farvekode forklaring"/>
      <sheetName val="ØR25 - testramme"/>
      <sheetName val="Ark3"/>
    </sheetNames>
    <sheetDataSet>
      <sheetData sheetId="0"/>
      <sheetData sheetId="1">
        <row r="1">
          <cell r="A1" t="str">
            <v>ØR 2024-2027 samt statusmeddelelser</v>
          </cell>
        </row>
      </sheetData>
      <sheetData sheetId="2">
        <row r="1">
          <cell r="A1" t="str">
            <v>ØR 2023-2026 samt statusmeddelelser</v>
          </cell>
        </row>
      </sheetData>
      <sheetData sheetId="3">
        <row r="1">
          <cell r="A1" t="str">
            <v>ØR 2022-2025 samt statusmeddelelser</v>
          </cell>
        </row>
      </sheetData>
      <sheetData sheetId="4"/>
      <sheetData sheetId="5"/>
      <sheetData sheetId="6"/>
      <sheetData sheetId="7"/>
      <sheetData sheetId="8"/>
      <sheetData sheetId="9">
        <row r="5">
          <cell r="C5">
            <v>1.0168999999999999</v>
          </cell>
        </row>
      </sheetData>
      <sheetData sheetId="10"/>
      <sheetData sheetId="1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78" t="s">
        <v>4</v>
      </c>
      <c r="E6" s="78"/>
      <c r="F6" s="78"/>
      <c r="G6" s="78"/>
      <c r="H6" s="3"/>
      <c r="I6" s="1"/>
    </row>
    <row r="7" spans="1:9" ht="15" customHeight="1" x14ac:dyDescent="0.25">
      <c r="A7" s="1"/>
      <c r="B7" s="1"/>
      <c r="C7" s="3"/>
      <c r="D7" s="78"/>
      <c r="E7" s="78"/>
      <c r="F7" s="78"/>
      <c r="G7" s="78"/>
      <c r="H7" s="3"/>
      <c r="I7" s="1"/>
    </row>
    <row r="8" spans="1:9" ht="15.75" x14ac:dyDescent="0.25">
      <c r="A8" s="1"/>
      <c r="B8" s="1"/>
      <c r="C8" s="4"/>
      <c r="D8" s="83" t="s">
        <v>235</v>
      </c>
      <c r="E8" s="83"/>
      <c r="F8" s="83"/>
      <c r="G8" s="83"/>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2" t="s">
        <v>5</v>
      </c>
      <c r="E11" s="82"/>
      <c r="F11" s="82"/>
      <c r="G11" s="82"/>
      <c r="H11" s="5"/>
      <c r="I11" s="1"/>
    </row>
    <row r="12" spans="1:9" x14ac:dyDescent="0.25">
      <c r="A12" s="1"/>
      <c r="B12" s="1"/>
      <c r="C12" s="1"/>
      <c r="D12" s="1"/>
      <c r="E12" s="1"/>
      <c r="F12" s="1"/>
      <c r="G12" s="1"/>
      <c r="H12" s="1"/>
      <c r="I12" s="1"/>
    </row>
    <row r="13" spans="1:9" x14ac:dyDescent="0.25">
      <c r="A13" s="1"/>
      <c r="B13" s="1"/>
      <c r="C13" s="6" t="s">
        <v>6</v>
      </c>
      <c r="D13" s="75" t="s">
        <v>162</v>
      </c>
      <c r="E13" s="76"/>
      <c r="F13" s="76"/>
      <c r="G13" s="77"/>
      <c r="H13" s="1"/>
      <c r="I13" s="1"/>
    </row>
    <row r="14" spans="1:9" x14ac:dyDescent="0.25">
      <c r="A14" s="1"/>
      <c r="B14" s="1"/>
      <c r="C14" s="6" t="s">
        <v>14</v>
      </c>
      <c r="D14" s="75" t="s">
        <v>197</v>
      </c>
      <c r="E14" s="76"/>
      <c r="F14" s="76"/>
      <c r="G14" s="77"/>
      <c r="H14" s="1"/>
      <c r="I14" s="1"/>
    </row>
    <row r="15" spans="1:9" x14ac:dyDescent="0.25">
      <c r="A15" s="1"/>
      <c r="B15" s="1"/>
      <c r="C15" s="6" t="s">
        <v>30</v>
      </c>
      <c r="D15" s="75" t="s">
        <v>141</v>
      </c>
      <c r="E15" s="76"/>
      <c r="F15" s="76"/>
      <c r="G15" s="77"/>
      <c r="H15" s="1"/>
      <c r="I15" s="1"/>
    </row>
    <row r="16" spans="1:9" x14ac:dyDescent="0.25">
      <c r="A16" s="1"/>
      <c r="B16" s="1"/>
      <c r="C16" s="6" t="s">
        <v>31</v>
      </c>
      <c r="D16" s="75" t="s">
        <v>194</v>
      </c>
      <c r="E16" s="76"/>
      <c r="F16" s="76"/>
      <c r="G16" s="77"/>
      <c r="H16" s="1"/>
      <c r="I16" s="1"/>
    </row>
    <row r="17" spans="1:9" x14ac:dyDescent="0.25">
      <c r="A17" s="1"/>
      <c r="B17" s="1"/>
      <c r="C17" s="6" t="s">
        <v>102</v>
      </c>
      <c r="D17" s="75" t="s">
        <v>195</v>
      </c>
      <c r="E17" s="76"/>
      <c r="F17" s="76"/>
      <c r="G17" s="77"/>
      <c r="H17" s="1"/>
      <c r="I17" s="1"/>
    </row>
    <row r="18" spans="1:9" x14ac:dyDescent="0.25">
      <c r="A18" s="1"/>
      <c r="B18" s="1"/>
      <c r="C18" s="6" t="s">
        <v>86</v>
      </c>
      <c r="D18" s="84" t="s">
        <v>79</v>
      </c>
      <c r="E18" s="85"/>
      <c r="F18" s="85"/>
      <c r="G18" s="86"/>
      <c r="H18" s="1"/>
      <c r="I18" s="1"/>
    </row>
    <row r="19" spans="1:9" x14ac:dyDescent="0.25">
      <c r="A19" s="1"/>
      <c r="B19" s="1"/>
      <c r="C19" s="6" t="s">
        <v>87</v>
      </c>
      <c r="D19" s="84" t="s">
        <v>80</v>
      </c>
      <c r="E19" s="85"/>
      <c r="F19" s="85"/>
      <c r="G19" s="86"/>
      <c r="H19" s="1"/>
      <c r="I19" s="1"/>
    </row>
    <row r="20" spans="1:9" x14ac:dyDescent="0.25">
      <c r="A20" s="1"/>
      <c r="B20" s="1"/>
      <c r="C20" s="6" t="s">
        <v>7</v>
      </c>
      <c r="D20" s="84" t="s">
        <v>9</v>
      </c>
      <c r="E20" s="85"/>
      <c r="F20" s="85"/>
      <c r="G20" s="86"/>
      <c r="H20" s="1"/>
      <c r="I20" s="1"/>
    </row>
    <row r="21" spans="1:9" x14ac:dyDescent="0.25">
      <c r="A21" s="1"/>
      <c r="B21" s="1"/>
      <c r="C21" s="6" t="s">
        <v>88</v>
      </c>
      <c r="D21" s="90" t="s">
        <v>11</v>
      </c>
      <c r="E21" s="91"/>
      <c r="F21" s="91"/>
      <c r="G21" s="92"/>
      <c r="H21" s="1"/>
      <c r="I21" s="1"/>
    </row>
    <row r="22" spans="1:9" x14ac:dyDescent="0.25">
      <c r="A22" s="1"/>
      <c r="B22" s="1"/>
      <c r="C22" s="6" t="s">
        <v>73</v>
      </c>
      <c r="D22" s="79" t="s">
        <v>196</v>
      </c>
      <c r="E22" s="80"/>
      <c r="F22" s="80"/>
      <c r="G22" s="81"/>
      <c r="H22" s="1"/>
      <c r="I22" s="1"/>
    </row>
    <row r="23" spans="1:9" x14ac:dyDescent="0.25">
      <c r="A23" s="1"/>
      <c r="B23" s="1"/>
      <c r="C23" s="6" t="s">
        <v>8</v>
      </c>
      <c r="D23" s="79" t="s">
        <v>176</v>
      </c>
      <c r="E23" s="80"/>
      <c r="F23" s="80"/>
      <c r="G23" s="81"/>
      <c r="H23" s="1"/>
      <c r="I23" s="1"/>
    </row>
    <row r="24" spans="1:9" x14ac:dyDescent="0.25">
      <c r="A24" s="1"/>
      <c r="B24" s="1"/>
      <c r="C24" s="6" t="s">
        <v>172</v>
      </c>
      <c r="D24" s="79" t="s">
        <v>163</v>
      </c>
      <c r="E24" s="80"/>
      <c r="F24" s="80"/>
      <c r="G24" s="81"/>
      <c r="H24" s="1"/>
      <c r="I24" s="1"/>
    </row>
    <row r="25" spans="1:9" x14ac:dyDescent="0.25">
      <c r="A25" s="1"/>
      <c r="B25" s="1"/>
      <c r="C25" s="6" t="s">
        <v>173</v>
      </c>
      <c r="D25" s="79" t="s">
        <v>74</v>
      </c>
      <c r="E25" s="80"/>
      <c r="F25" s="80"/>
      <c r="G25" s="81"/>
      <c r="H25" s="1"/>
      <c r="I25" s="1"/>
    </row>
    <row r="26" spans="1:9" x14ac:dyDescent="0.25">
      <c r="A26" s="1"/>
      <c r="B26" s="1"/>
      <c r="C26" s="6" t="s">
        <v>174</v>
      </c>
      <c r="D26" s="79" t="s">
        <v>75</v>
      </c>
      <c r="E26" s="80"/>
      <c r="F26" s="80"/>
      <c r="G26" s="81"/>
      <c r="H26" s="1"/>
      <c r="I26" s="1"/>
    </row>
    <row r="27" spans="1:9" x14ac:dyDescent="0.25">
      <c r="A27" s="1"/>
      <c r="B27" s="1"/>
      <c r="C27" s="6" t="s">
        <v>89</v>
      </c>
      <c r="D27" s="79" t="s">
        <v>103</v>
      </c>
      <c r="E27" s="80"/>
      <c r="F27" s="80"/>
      <c r="G27" s="81"/>
      <c r="H27" s="1"/>
      <c r="I27" s="1"/>
    </row>
    <row r="28" spans="1:9" x14ac:dyDescent="0.25">
      <c r="A28" s="1"/>
      <c r="B28" s="1"/>
      <c r="C28" s="6" t="s">
        <v>83</v>
      </c>
      <c r="D28" s="79" t="s">
        <v>32</v>
      </c>
      <c r="E28" s="80"/>
      <c r="F28" s="80"/>
      <c r="G28" s="81"/>
      <c r="H28" s="1"/>
      <c r="I28" s="1"/>
    </row>
    <row r="29" spans="1:9" x14ac:dyDescent="0.25">
      <c r="A29" s="1"/>
      <c r="B29" s="1"/>
      <c r="C29" s="6" t="s">
        <v>175</v>
      </c>
      <c r="D29" s="87" t="s">
        <v>84</v>
      </c>
      <c r="E29" s="88"/>
      <c r="F29" s="88"/>
      <c r="G29" s="89"/>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4"/>
      <c r="B51" s="44"/>
      <c r="C51" s="44"/>
      <c r="D51" s="44"/>
      <c r="E51" s="44"/>
      <c r="F51" s="44"/>
      <c r="G51" s="44"/>
      <c r="H51" s="44"/>
      <c r="I51" s="44"/>
    </row>
  </sheetData>
  <sheetProtection algorithmName="SHA-512" hashValue="t8TXjnsoCEI3F3LR+fuIV7MFLxTlXiPcxDLIWX2ZyLZ0FTQkW8/8YB81W9lL3BT6nehFZBJ2qPgwDxADi7SHww==" saltValue="9zuZLDfcwlkQ4NtR3+6Xag=="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5'!A1" display="Samlet økonomisk ramme for 2025"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2"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3'!A1" display="Omkostninger i ØR2023" xr:uid="{00000000-0004-0000-0000-00000B000000}"/>
    <hyperlink ref="D26:G26"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3" t="s">
        <v>92</v>
      </c>
      <c r="C3" s="93"/>
      <c r="D3" s="93"/>
      <c r="E3" s="1"/>
      <c r="F3" s="1"/>
    </row>
    <row r="4" spans="1:6" ht="15" customHeight="1" x14ac:dyDescent="0.25">
      <c r="A4" s="1"/>
      <c r="B4" s="93"/>
      <c r="C4" s="93"/>
      <c r="D4" s="93"/>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03" t="s">
        <v>226</v>
      </c>
      <c r="C8" s="104"/>
      <c r="D8" s="105"/>
      <c r="E8" s="1"/>
      <c r="F8" s="1"/>
    </row>
    <row r="9" spans="1:6" ht="15" customHeight="1" x14ac:dyDescent="0.25">
      <c r="A9" s="1"/>
      <c r="B9" s="32" t="s">
        <v>28</v>
      </c>
      <c r="C9" s="11" t="s">
        <v>212</v>
      </c>
      <c r="D9" s="11"/>
      <c r="E9" s="1"/>
      <c r="F9" s="1"/>
    </row>
    <row r="10" spans="1:6" ht="15" customHeight="1" x14ac:dyDescent="0.25">
      <c r="A10" s="1"/>
      <c r="B10" s="67" t="s">
        <v>245</v>
      </c>
      <c r="C10" s="9">
        <v>7401532</v>
      </c>
      <c r="D10" s="14" t="s">
        <v>3</v>
      </c>
      <c r="E10" s="1"/>
      <c r="F10" s="1"/>
    </row>
    <row r="11" spans="1:6" x14ac:dyDescent="0.25">
      <c r="A11" s="1"/>
      <c r="B11" s="67" t="s">
        <v>246</v>
      </c>
      <c r="C11" s="9">
        <v>76645</v>
      </c>
      <c r="D11" s="14" t="s">
        <v>3</v>
      </c>
      <c r="E11" s="1"/>
      <c r="F11" s="1"/>
    </row>
    <row r="12" spans="1:6" x14ac:dyDescent="0.25">
      <c r="A12" s="1"/>
      <c r="B12" s="67" t="s">
        <v>247</v>
      </c>
      <c r="C12" s="9">
        <v>11874</v>
      </c>
      <c r="D12" s="14" t="s">
        <v>3</v>
      </c>
      <c r="E12" s="1"/>
      <c r="F12" s="1"/>
    </row>
    <row r="13" spans="1:6" x14ac:dyDescent="0.25">
      <c r="A13" s="1"/>
      <c r="B13" s="67"/>
      <c r="C13" s="9"/>
      <c r="D13" s="14" t="s">
        <v>3</v>
      </c>
      <c r="E13" s="1"/>
      <c r="F13" s="1"/>
    </row>
    <row r="14" spans="1:6" x14ac:dyDescent="0.25">
      <c r="A14" s="1"/>
      <c r="B14" s="67"/>
      <c r="C14" s="9"/>
      <c r="D14" s="14" t="s">
        <v>3</v>
      </c>
      <c r="E14" s="1"/>
      <c r="F14" s="1"/>
    </row>
    <row r="15" spans="1:6" x14ac:dyDescent="0.25">
      <c r="A15" s="1"/>
      <c r="B15" s="67"/>
      <c r="C15" s="9"/>
      <c r="D15" s="14" t="s">
        <v>3</v>
      </c>
      <c r="E15" s="1"/>
      <c r="F15" s="1"/>
    </row>
    <row r="16" spans="1:6" x14ac:dyDescent="0.25">
      <c r="A16" s="1"/>
      <c r="B16" s="67"/>
      <c r="C16" s="9"/>
      <c r="D16" s="14" t="s">
        <v>3</v>
      </c>
      <c r="E16" s="1"/>
      <c r="F16" s="1"/>
    </row>
    <row r="17" spans="1:6" x14ac:dyDescent="0.25">
      <c r="A17" s="1"/>
      <c r="B17" s="67"/>
      <c r="C17" s="9"/>
      <c r="D17" s="14" t="s">
        <v>3</v>
      </c>
      <c r="E17" s="1"/>
      <c r="F17" s="1"/>
    </row>
    <row r="18" spans="1:6" x14ac:dyDescent="0.25">
      <c r="A18" s="1"/>
      <c r="B18" s="67"/>
      <c r="C18" s="9"/>
      <c r="D18" s="14" t="s">
        <v>3</v>
      </c>
      <c r="E18" s="1"/>
      <c r="F18" s="1"/>
    </row>
    <row r="19" spans="1:6" x14ac:dyDescent="0.25">
      <c r="A19" s="1"/>
      <c r="B19" s="51" t="s">
        <v>213</v>
      </c>
      <c r="C19" s="12">
        <f>SUM(C10:C18)</f>
        <v>7490051</v>
      </c>
      <c r="D19" s="13" t="s">
        <v>3</v>
      </c>
      <c r="E19" s="1"/>
      <c r="F19" s="1"/>
    </row>
    <row r="20" spans="1:6" x14ac:dyDescent="0.25">
      <c r="A20" s="1"/>
      <c r="B20" s="51" t="s">
        <v>214</v>
      </c>
      <c r="C20" s="12">
        <f>C19*(1+'Fane 13. Nøgletal'!C16)^2</f>
        <v>8749343.0881606396</v>
      </c>
      <c r="D20" s="13" t="s">
        <v>3</v>
      </c>
      <c r="E20" s="1"/>
      <c r="F20" s="1"/>
    </row>
    <row r="21" spans="1:6" x14ac:dyDescent="0.25">
      <c r="A21" s="1"/>
      <c r="B21" s="16"/>
      <c r="C21" s="15"/>
      <c r="D21" s="15"/>
      <c r="E21" s="1"/>
      <c r="F21" s="1"/>
    </row>
    <row r="22" spans="1:6" x14ac:dyDescent="0.25">
      <c r="A22" s="1"/>
      <c r="B22" s="16"/>
      <c r="C22" s="15"/>
      <c r="D22" s="15"/>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44"/>
      <c r="B51" s="44"/>
      <c r="C51" s="44"/>
      <c r="D51" s="44"/>
      <c r="E51" s="44"/>
      <c r="F51" s="44"/>
    </row>
    <row r="52" spans="1:6" x14ac:dyDescent="0.25">
      <c r="A52" s="44"/>
      <c r="B52" s="44"/>
      <c r="C52" s="44"/>
      <c r="D52" s="44"/>
      <c r="E52" s="44"/>
      <c r="F52" s="44"/>
    </row>
    <row r="53" spans="1:6" x14ac:dyDescent="0.25">
      <c r="A53" s="44"/>
      <c r="B53" s="44"/>
      <c r="C53" s="44"/>
      <c r="D53" s="44"/>
      <c r="E53" s="44"/>
      <c r="F53" s="44"/>
    </row>
    <row r="54" spans="1:6" x14ac:dyDescent="0.25">
      <c r="A54" s="44"/>
      <c r="B54" s="44"/>
      <c r="C54" s="44"/>
      <c r="D54" s="44"/>
      <c r="E54" s="44"/>
      <c r="F54" s="44"/>
    </row>
    <row r="55" spans="1:6" x14ac:dyDescent="0.25">
      <c r="A55" s="44"/>
      <c r="B55" s="44"/>
      <c r="C55" s="44"/>
      <c r="D55" s="44"/>
      <c r="E55" s="44"/>
      <c r="F55" s="44"/>
    </row>
    <row r="56" spans="1:6" x14ac:dyDescent="0.25">
      <c r="A56" s="44"/>
      <c r="B56" s="44"/>
      <c r="C56" s="44"/>
      <c r="D56" s="44"/>
      <c r="E56" s="44"/>
      <c r="F56" s="44"/>
    </row>
  </sheetData>
  <sheetProtection algorithmName="SHA-512" hashValue="Q9WN6DpbGJNxRpf6lkL+oL7zMrEca6TNMdJtv2yD0YGNNtDqi6CLB+0ofbSyy+Kl4SCkktewYH5+jqfdQgm/pQ==" saltValue="6K/6IhgEtcxh0QkU0rUfyA=="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45"/>
  <sheetViews>
    <sheetView showGridLines="0" view="pageLayout" zoomScale="86" zoomScaleNormal="100" zoomScalePageLayoutView="86"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96" t="s">
        <v>227</v>
      </c>
      <c r="C3" s="96"/>
      <c r="D3" s="96"/>
      <c r="E3" s="96"/>
      <c r="F3" s="96"/>
      <c r="G3" s="1"/>
    </row>
    <row r="4" spans="1:7" ht="15" customHeight="1" x14ac:dyDescent="0.25">
      <c r="A4" s="1"/>
      <c r="B4" s="96"/>
      <c r="C4" s="96"/>
      <c r="D4" s="96"/>
      <c r="E4" s="96"/>
      <c r="F4" s="96"/>
      <c r="G4" s="1"/>
    </row>
    <row r="5" spans="1:7" ht="15" customHeight="1" x14ac:dyDescent="0.25">
      <c r="A5" s="1"/>
      <c r="B5" s="60"/>
      <c r="C5" s="60"/>
      <c r="D5" s="60"/>
      <c r="E5" s="60"/>
      <c r="F5" s="60"/>
      <c r="G5" s="1"/>
    </row>
    <row r="6" spans="1:7" ht="15" customHeight="1" x14ac:dyDescent="0.25">
      <c r="A6" s="1"/>
      <c r="B6" s="60"/>
      <c r="C6" s="60"/>
      <c r="D6" s="60"/>
      <c r="E6" s="60"/>
      <c r="F6" s="60"/>
      <c r="G6" s="1"/>
    </row>
    <row r="7" spans="1:7" x14ac:dyDescent="0.25">
      <c r="A7" s="1"/>
      <c r="B7" s="1"/>
      <c r="C7" s="1"/>
      <c r="D7" s="1"/>
      <c r="E7" s="1"/>
      <c r="F7" s="1"/>
      <c r="G7" s="1"/>
    </row>
    <row r="8" spans="1:7" x14ac:dyDescent="0.25">
      <c r="A8" s="1"/>
      <c r="B8" s="103" t="s">
        <v>248</v>
      </c>
      <c r="C8" s="104"/>
      <c r="D8" s="104"/>
      <c r="E8" s="104"/>
      <c r="F8" s="105"/>
      <c r="G8" s="1"/>
    </row>
    <row r="9" spans="1:7" x14ac:dyDescent="0.25">
      <c r="A9" s="1"/>
      <c r="B9" s="97" t="s">
        <v>249</v>
      </c>
      <c r="C9" s="98"/>
      <c r="D9" s="99"/>
      <c r="E9" s="28">
        <v>-242570.96635412425</v>
      </c>
      <c r="F9" s="14" t="s">
        <v>3</v>
      </c>
      <c r="G9" s="1"/>
    </row>
    <row r="10" spans="1:7" x14ac:dyDescent="0.25">
      <c r="A10" s="1"/>
      <c r="B10" s="51"/>
      <c r="C10" s="52"/>
      <c r="D10" s="52"/>
      <c r="E10" s="52"/>
      <c r="F10" s="19"/>
      <c r="G10" s="1"/>
    </row>
    <row r="11" spans="1:7" ht="57" customHeight="1" x14ac:dyDescent="0.25">
      <c r="A11" s="1"/>
      <c r="B11" s="115" t="s">
        <v>250</v>
      </c>
      <c r="C11" s="116"/>
      <c r="D11" s="116"/>
      <c r="E11" s="116"/>
      <c r="F11" s="117"/>
      <c r="G11" s="1"/>
    </row>
    <row r="12" spans="1:7" x14ac:dyDescent="0.25">
      <c r="A12" s="1"/>
      <c r="B12" s="1"/>
      <c r="C12" s="1"/>
      <c r="D12" s="1"/>
      <c r="E12" s="1"/>
      <c r="F12" s="1"/>
      <c r="G12" s="1"/>
    </row>
    <row r="13" spans="1:7" x14ac:dyDescent="0.25">
      <c r="A13" s="1"/>
      <c r="B13" s="103" t="s">
        <v>140</v>
      </c>
      <c r="C13" s="104"/>
      <c r="D13" s="104"/>
      <c r="E13" s="104"/>
      <c r="F13" s="105"/>
      <c r="G13" s="1"/>
    </row>
    <row r="14" spans="1:7" x14ac:dyDescent="0.25">
      <c r="A14" s="1"/>
      <c r="B14" s="97" t="s">
        <v>251</v>
      </c>
      <c r="C14" s="98"/>
      <c r="D14" s="99"/>
      <c r="E14" s="9">
        <v>0</v>
      </c>
      <c r="F14" s="14" t="s">
        <v>3</v>
      </c>
      <c r="G14" s="1"/>
    </row>
    <row r="15" spans="1:7" x14ac:dyDescent="0.25">
      <c r="A15" s="1"/>
      <c r="B15" s="97" t="s">
        <v>252</v>
      </c>
      <c r="C15" s="98"/>
      <c r="D15" s="99"/>
      <c r="E15" s="9">
        <v>0</v>
      </c>
      <c r="F15" s="14" t="s">
        <v>3</v>
      </c>
      <c r="G15" s="1"/>
    </row>
    <row r="16" spans="1:7" x14ac:dyDescent="0.25">
      <c r="A16" s="1"/>
      <c r="B16" s="51"/>
      <c r="C16" s="52"/>
      <c r="D16" s="52"/>
      <c r="E16" s="52"/>
      <c r="F16" s="19"/>
      <c r="G16" s="1"/>
    </row>
    <row r="17" spans="1:7" ht="30.75" customHeight="1" x14ac:dyDescent="0.25">
      <c r="A17" s="1"/>
      <c r="B17" s="115" t="s">
        <v>253</v>
      </c>
      <c r="C17" s="116"/>
      <c r="D17" s="116"/>
      <c r="E17" s="116"/>
      <c r="F17" s="117"/>
      <c r="G17" s="1"/>
    </row>
    <row r="18" spans="1:7" x14ac:dyDescent="0.25">
      <c r="A18" s="1"/>
      <c r="B18" s="1"/>
      <c r="C18" s="1"/>
      <c r="D18" s="1"/>
      <c r="E18" s="1"/>
      <c r="F18" s="1"/>
      <c r="G18" s="1"/>
    </row>
    <row r="19" spans="1:7" x14ac:dyDescent="0.25">
      <c r="A19" s="1"/>
      <c r="B19" s="61" t="s">
        <v>254</v>
      </c>
      <c r="C19" s="62"/>
      <c r="D19" s="62"/>
      <c r="E19" s="62"/>
      <c r="F19" s="63"/>
      <c r="G19" s="1"/>
    </row>
    <row r="20" spans="1:7" x14ac:dyDescent="0.25">
      <c r="A20" s="1"/>
      <c r="B20" s="64" t="s">
        <v>255</v>
      </c>
      <c r="C20" s="65"/>
      <c r="D20" s="66"/>
      <c r="E20" s="9">
        <v>18719369.853920195</v>
      </c>
      <c r="F20" s="14" t="s">
        <v>3</v>
      </c>
      <c r="G20" s="1"/>
    </row>
    <row r="21" spans="1:7" x14ac:dyDescent="0.25">
      <c r="A21" s="1"/>
      <c r="B21" s="64" t="s">
        <v>256</v>
      </c>
      <c r="C21" s="65"/>
      <c r="D21" s="66"/>
      <c r="E21" s="9">
        <v>18759468</v>
      </c>
      <c r="F21" s="14" t="s">
        <v>3</v>
      </c>
      <c r="G21" s="1"/>
    </row>
    <row r="22" spans="1:7" x14ac:dyDescent="0.25">
      <c r="A22" s="1"/>
      <c r="B22" s="64" t="s">
        <v>29</v>
      </c>
      <c r="C22" s="65"/>
      <c r="D22" s="66"/>
      <c r="E22" s="9">
        <v>0</v>
      </c>
      <c r="F22" s="14" t="s">
        <v>3</v>
      </c>
      <c r="G22" s="1"/>
    </row>
    <row r="23" spans="1:7" x14ac:dyDescent="0.25">
      <c r="A23" s="1"/>
      <c r="B23" s="69" t="s">
        <v>257</v>
      </c>
      <c r="C23" s="70"/>
      <c r="D23" s="71"/>
      <c r="E23" s="10">
        <f>E20-(E21-E22)</f>
        <v>-40098.146079804748</v>
      </c>
      <c r="F23" s="17" t="s">
        <v>3</v>
      </c>
      <c r="G23" s="1"/>
    </row>
    <row r="24" spans="1:7" x14ac:dyDescent="0.25">
      <c r="A24" s="1"/>
      <c r="B24" s="51"/>
      <c r="C24" s="52"/>
      <c r="D24" s="52"/>
      <c r="E24" s="52"/>
      <c r="F24" s="19"/>
      <c r="G24" s="1"/>
    </row>
    <row r="25" spans="1:7" x14ac:dyDescent="0.25">
      <c r="A25" s="1"/>
      <c r="B25" s="1"/>
      <c r="C25" s="1"/>
      <c r="D25" s="1"/>
      <c r="E25" s="1"/>
      <c r="F25" s="1"/>
      <c r="G25" s="1"/>
    </row>
    <row r="26" spans="1:7" x14ac:dyDescent="0.25">
      <c r="A26" s="1"/>
      <c r="B26" s="103" t="s">
        <v>258</v>
      </c>
      <c r="C26" s="104"/>
      <c r="D26" s="104"/>
      <c r="E26" s="104"/>
      <c r="F26" s="105"/>
      <c r="G26" s="1"/>
    </row>
    <row r="27" spans="1:7" x14ac:dyDescent="0.25">
      <c r="A27" s="1"/>
      <c r="B27" s="122" t="s">
        <v>259</v>
      </c>
      <c r="C27" s="123"/>
      <c r="D27" s="124"/>
      <c r="E27" s="58">
        <f>IF(AND(E15&lt;0,E23&gt;0,ABS(SUM(E14:E15))&lt;E23),ABS(E14),IF(AND(E15&lt;0,E23&gt;0,ABS(SUM(E14:E15))&gt;E23),SUM(E14,E23),0))</f>
        <v>0</v>
      </c>
      <c r="F27" s="17" t="s">
        <v>3</v>
      </c>
      <c r="G27" s="1"/>
    </row>
    <row r="28" spans="1:7" x14ac:dyDescent="0.25">
      <c r="A28" s="1"/>
      <c r="B28" s="103"/>
      <c r="C28" s="104"/>
      <c r="D28" s="104"/>
      <c r="E28" s="104"/>
      <c r="F28" s="105"/>
      <c r="G28" s="1"/>
    </row>
    <row r="29" spans="1:7" x14ac:dyDescent="0.25">
      <c r="A29" s="1"/>
      <c r="B29" s="1"/>
      <c r="C29" s="1"/>
      <c r="D29" s="1"/>
      <c r="E29" s="1"/>
      <c r="F29" s="1"/>
      <c r="G29" s="1"/>
    </row>
    <row r="30" spans="1:7" x14ac:dyDescent="0.25">
      <c r="A30" s="1"/>
      <c r="B30" s="103" t="s">
        <v>260</v>
      </c>
      <c r="C30" s="104"/>
      <c r="D30" s="104"/>
      <c r="E30" s="104"/>
      <c r="F30" s="105"/>
      <c r="G30" s="1"/>
    </row>
    <row r="31" spans="1:7" x14ac:dyDescent="0.25">
      <c r="A31" s="1"/>
      <c r="B31" s="125" t="s">
        <v>117</v>
      </c>
      <c r="C31" s="126"/>
      <c r="D31" s="127"/>
      <c r="E31" s="59">
        <f>IF(AND(E9&gt;0,(E9+E23)&gt;0),0,IF(AND(E9&gt;0,(E9+E23)&lt;0),(E9+E23),IF(AND(E9&lt;0,E23&lt;0),E23,0)))</f>
        <v>-40098.146079804748</v>
      </c>
      <c r="F31" s="14" t="s">
        <v>3</v>
      </c>
      <c r="G31" s="1"/>
    </row>
    <row r="32" spans="1:7" x14ac:dyDescent="0.25">
      <c r="A32" s="1"/>
      <c r="B32" s="125" t="s">
        <v>85</v>
      </c>
      <c r="C32" s="126"/>
      <c r="D32" s="127"/>
      <c r="E32" s="9">
        <v>2</v>
      </c>
      <c r="F32" s="14" t="s">
        <v>18</v>
      </c>
      <c r="G32" s="1"/>
    </row>
    <row r="33" spans="1:7" x14ac:dyDescent="0.25">
      <c r="A33" s="1"/>
      <c r="B33" s="118" t="s">
        <v>116</v>
      </c>
      <c r="C33" s="118"/>
      <c r="D33" s="118"/>
      <c r="E33" s="58">
        <f>E31/E32</f>
        <v>-20049.073039902374</v>
      </c>
      <c r="F33" s="17" t="s">
        <v>3</v>
      </c>
      <c r="G33" s="1"/>
    </row>
    <row r="34" spans="1:7" x14ac:dyDescent="0.25">
      <c r="A34" s="1"/>
      <c r="B34" s="119"/>
      <c r="C34" s="120"/>
      <c r="D34" s="120"/>
      <c r="E34" s="120"/>
      <c r="F34" s="12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xg4n46KC7GbpYPSRGYcpnOLkIqKNyjXzTeeWqiizRT1K7Lo0OcK85EwndN8/oWlPa5J9iIzL57ArzuFFuCdMbQ==" saltValue="jzmhvRvbfH7/6zij4X4pKg==" spinCount="100000" sheet="1" objects="1" scenarios="1"/>
  <mergeCells count="16">
    <mergeCell ref="B33:D33"/>
    <mergeCell ref="B34:F34"/>
    <mergeCell ref="B14:D14"/>
    <mergeCell ref="B15:D15"/>
    <mergeCell ref="B17:F17"/>
    <mergeCell ref="B26:F26"/>
    <mergeCell ref="B27:D27"/>
    <mergeCell ref="B31:D31"/>
    <mergeCell ref="B28:F28"/>
    <mergeCell ref="B30:F30"/>
    <mergeCell ref="B32:D32"/>
    <mergeCell ref="B13:F13"/>
    <mergeCell ref="B3:F4"/>
    <mergeCell ref="B8:F8"/>
    <mergeCell ref="B9:D9"/>
    <mergeCell ref="B11:F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I50"/>
  <sheetViews>
    <sheetView view="pageLayout" zoomScaleNormal="100" workbookViewId="0"/>
  </sheetViews>
  <sheetFormatPr defaultColWidth="9.140625" defaultRowHeight="15" x14ac:dyDescent="0.25"/>
  <cols>
    <col min="1" max="1" width="4.7109375" style="34" customWidth="1"/>
    <col min="2" max="2" width="22.5703125" style="34" customWidth="1"/>
    <col min="3" max="3" width="8.28515625" style="34" customWidth="1"/>
    <col min="4" max="6" width="10.7109375" style="34" customWidth="1"/>
    <col min="7" max="7" width="11.140625" style="34" customWidth="1"/>
    <col min="8" max="8" width="3.28515625" style="34" customWidth="1"/>
    <col min="9" max="9" width="4.85546875" style="34" customWidth="1"/>
    <col min="10" max="16384" width="9.140625" style="34"/>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3" t="s">
        <v>183</v>
      </c>
      <c r="C3" s="93"/>
      <c r="D3" s="93"/>
      <c r="E3" s="93"/>
      <c r="F3" s="93"/>
      <c r="G3" s="93"/>
      <c r="H3" s="93"/>
      <c r="I3" s="1"/>
    </row>
    <row r="4" spans="1:9" ht="15" customHeight="1" x14ac:dyDescent="0.25">
      <c r="A4" s="1"/>
      <c r="B4" s="93"/>
      <c r="C4" s="93"/>
      <c r="D4" s="93"/>
      <c r="E4" s="93"/>
      <c r="F4" s="93"/>
      <c r="G4" s="93"/>
      <c r="H4" s="93"/>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03" t="s">
        <v>184</v>
      </c>
      <c r="C8" s="104"/>
      <c r="D8" s="104"/>
      <c r="E8" s="104"/>
      <c r="F8" s="104"/>
      <c r="G8" s="104"/>
      <c r="H8" s="105"/>
      <c r="I8" s="1"/>
    </row>
    <row r="9" spans="1:9" ht="15" customHeight="1" x14ac:dyDescent="0.25">
      <c r="A9" s="1"/>
      <c r="B9" s="128" t="s">
        <v>234</v>
      </c>
      <c r="C9" s="129"/>
      <c r="D9" s="129"/>
      <c r="E9" s="129"/>
      <c r="F9" s="129"/>
      <c r="G9" s="129"/>
      <c r="H9" s="130"/>
      <c r="I9" s="1"/>
    </row>
    <row r="10" spans="1:9" x14ac:dyDescent="0.25">
      <c r="A10" s="1"/>
      <c r="B10" s="131" t="s">
        <v>185</v>
      </c>
      <c r="C10" s="132"/>
      <c r="D10" s="132"/>
      <c r="E10" s="132"/>
      <c r="F10" s="133"/>
      <c r="G10" s="45"/>
      <c r="H10" s="9" t="s">
        <v>3</v>
      </c>
      <c r="I10" s="1"/>
    </row>
    <row r="11" spans="1:9" x14ac:dyDescent="0.25">
      <c r="A11" s="1"/>
      <c r="B11" s="131" t="s">
        <v>186</v>
      </c>
      <c r="C11" s="132"/>
      <c r="D11" s="132"/>
      <c r="E11" s="132"/>
      <c r="F11" s="133"/>
      <c r="G11" s="45"/>
      <c r="H11" s="9" t="s">
        <v>3</v>
      </c>
      <c r="I11" s="1"/>
    </row>
    <row r="12" spans="1:9" x14ac:dyDescent="0.25">
      <c r="A12" s="1"/>
      <c r="B12" s="131" t="s">
        <v>187</v>
      </c>
      <c r="C12" s="132"/>
      <c r="D12" s="132"/>
      <c r="E12" s="132"/>
      <c r="F12" s="133"/>
      <c r="G12" s="9"/>
      <c r="H12" s="9" t="s">
        <v>3</v>
      </c>
      <c r="I12" s="1"/>
    </row>
    <row r="13" spans="1:9" x14ac:dyDescent="0.25">
      <c r="A13" s="1"/>
      <c r="B13" s="131" t="s">
        <v>188</v>
      </c>
      <c r="C13" s="132"/>
      <c r="D13" s="132"/>
      <c r="E13" s="132"/>
      <c r="F13" s="133"/>
      <c r="G13" s="9"/>
      <c r="H13" s="9" t="s">
        <v>3</v>
      </c>
      <c r="I13" s="1"/>
    </row>
    <row r="14" spans="1:9" x14ac:dyDescent="0.25">
      <c r="A14" s="1"/>
      <c r="B14" s="131" t="s">
        <v>189</v>
      </c>
      <c r="C14" s="132"/>
      <c r="D14" s="132"/>
      <c r="E14" s="132"/>
      <c r="F14" s="133"/>
      <c r="G14" s="9"/>
      <c r="H14" s="9" t="s">
        <v>3</v>
      </c>
      <c r="I14" s="1"/>
    </row>
    <row r="15" spans="1:9" x14ac:dyDescent="0.25">
      <c r="A15" s="1"/>
      <c r="B15" s="131" t="s">
        <v>190</v>
      </c>
      <c r="C15" s="132"/>
      <c r="D15" s="132"/>
      <c r="E15" s="132"/>
      <c r="F15" s="133"/>
      <c r="G15" s="9"/>
      <c r="H15" s="9" t="s">
        <v>3</v>
      </c>
      <c r="I15" s="1"/>
    </row>
    <row r="16" spans="1:9" x14ac:dyDescent="0.25">
      <c r="A16" s="1"/>
      <c r="B16" s="131" t="s">
        <v>191</v>
      </c>
      <c r="C16" s="132"/>
      <c r="D16" s="132"/>
      <c r="E16" s="132"/>
      <c r="F16" s="133"/>
      <c r="G16" s="9"/>
      <c r="H16" s="9" t="s">
        <v>3</v>
      </c>
      <c r="I16" s="1"/>
    </row>
    <row r="17" spans="1:9" x14ac:dyDescent="0.25">
      <c r="A17" s="1"/>
      <c r="B17" s="131" t="s">
        <v>192</v>
      </c>
      <c r="C17" s="132"/>
      <c r="D17" s="132"/>
      <c r="E17" s="132"/>
      <c r="F17" s="133"/>
      <c r="G17" s="9"/>
      <c r="H17" s="9" t="s">
        <v>3</v>
      </c>
      <c r="I17" s="1"/>
    </row>
    <row r="18" spans="1:9" x14ac:dyDescent="0.25">
      <c r="A18" s="1"/>
      <c r="B18" s="103" t="s">
        <v>193</v>
      </c>
      <c r="C18" s="104"/>
      <c r="D18" s="104"/>
      <c r="E18" s="104"/>
      <c r="F18" s="105"/>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IS+Y38exzj3hp2k2JvjqlTi9XLNU2C4lSDd22Txx4DHD15n1AjR9l21qMUj+15rNtVp83F9UTizMdzIMaGaPuA==" saltValue="ADrFKa3ZHsJTUUBQLHlykQ=="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6"/>
  <sheetViews>
    <sheetView showGridLines="0" view="pageLayout" zoomScaleNormal="100" workbookViewId="0"/>
  </sheetViews>
  <sheetFormatPr defaultColWidth="9.140625" defaultRowHeight="15" x14ac:dyDescent="0.25"/>
  <cols>
    <col min="1" max="1" width="3.85546875" style="2" customWidth="1"/>
    <col min="2" max="2" width="21.140625" style="2" customWidth="1"/>
    <col min="3" max="3" width="7.28515625" style="2" customWidth="1"/>
    <col min="4" max="4" width="9.425781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3" t="s">
        <v>177</v>
      </c>
      <c r="C3" s="93"/>
      <c r="D3" s="93"/>
      <c r="E3" s="93"/>
      <c r="F3" s="93"/>
      <c r="G3" s="93"/>
      <c r="H3" s="93"/>
      <c r="I3" s="93"/>
      <c r="J3" s="93"/>
      <c r="K3" s="93"/>
      <c r="L3" s="1"/>
    </row>
    <row r="4" spans="1:12" ht="15" customHeight="1" x14ac:dyDescent="0.25">
      <c r="A4" s="1"/>
      <c r="B4" s="93"/>
      <c r="C4" s="93"/>
      <c r="D4" s="93"/>
      <c r="E4" s="93"/>
      <c r="F4" s="93"/>
      <c r="G4" s="93"/>
      <c r="H4" s="93"/>
      <c r="I4" s="93"/>
      <c r="J4" s="93"/>
      <c r="K4" s="93"/>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3" t="s">
        <v>155</v>
      </c>
      <c r="C8" s="104"/>
      <c r="D8" s="104"/>
      <c r="E8" s="104"/>
      <c r="F8" s="104"/>
      <c r="G8" s="104"/>
      <c r="H8" s="104"/>
      <c r="I8" s="104"/>
      <c r="J8" s="104"/>
      <c r="K8" s="105"/>
      <c r="L8" s="1"/>
    </row>
    <row r="9" spans="1:12" ht="39.75" customHeight="1" x14ac:dyDescent="0.25">
      <c r="A9" s="1"/>
      <c r="B9" s="18" t="s">
        <v>0</v>
      </c>
      <c r="C9" s="18" t="s">
        <v>1</v>
      </c>
      <c r="D9" s="134" t="s">
        <v>170</v>
      </c>
      <c r="E9" s="135"/>
      <c r="F9" s="134" t="s">
        <v>2</v>
      </c>
      <c r="G9" s="135"/>
      <c r="H9" s="134" t="s">
        <v>171</v>
      </c>
      <c r="I9" s="135"/>
      <c r="J9" s="134" t="s">
        <v>26</v>
      </c>
      <c r="K9" s="135"/>
      <c r="L9" s="1"/>
    </row>
    <row r="10" spans="1:12" x14ac:dyDescent="0.25">
      <c r="A10" s="1"/>
      <c r="B10" s="74" t="s">
        <v>238</v>
      </c>
      <c r="C10" s="31">
        <v>0</v>
      </c>
      <c r="D10" s="9">
        <v>0</v>
      </c>
      <c r="E10" s="14" t="s">
        <v>3</v>
      </c>
      <c r="F10" s="55">
        <f>IFERROR(D10/C10,0)</f>
        <v>0</v>
      </c>
      <c r="G10" s="14" t="s">
        <v>3</v>
      </c>
      <c r="H10" s="9">
        <v>0</v>
      </c>
      <c r="I10" s="14" t="s">
        <v>3</v>
      </c>
      <c r="J10" s="9">
        <v>0</v>
      </c>
      <c r="K10" s="14" t="s">
        <v>3</v>
      </c>
      <c r="L10" s="1"/>
    </row>
    <row r="11" spans="1:12" x14ac:dyDescent="0.25">
      <c r="A11" s="1"/>
      <c r="B11" s="51" t="s">
        <v>215</v>
      </c>
      <c r="C11" s="52"/>
      <c r="D11" s="19"/>
      <c r="E11" s="63"/>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44"/>
      <c r="B43" s="44"/>
      <c r="C43" s="44"/>
      <c r="D43" s="44"/>
      <c r="E43" s="44"/>
      <c r="F43" s="44"/>
      <c r="G43" s="44"/>
      <c r="H43" s="44"/>
      <c r="I43" s="44"/>
      <c r="J43" s="44"/>
      <c r="K43" s="44"/>
      <c r="L43" s="44"/>
    </row>
    <row r="44" spans="1:12" x14ac:dyDescent="0.25">
      <c r="A44" s="44"/>
      <c r="B44" s="44"/>
      <c r="C44" s="44"/>
      <c r="D44" s="44"/>
      <c r="E44" s="44"/>
      <c r="F44" s="44"/>
      <c r="G44" s="44"/>
      <c r="H44" s="44"/>
      <c r="I44" s="44"/>
      <c r="J44" s="44"/>
      <c r="K44" s="44"/>
      <c r="L44" s="44"/>
    </row>
    <row r="45" spans="1:12" x14ac:dyDescent="0.25">
      <c r="A45" s="44"/>
      <c r="B45" s="44"/>
      <c r="C45" s="44"/>
      <c r="D45" s="44"/>
      <c r="E45" s="44"/>
      <c r="F45" s="44"/>
      <c r="G45" s="44"/>
      <c r="H45" s="44"/>
      <c r="I45" s="44"/>
      <c r="J45" s="44"/>
      <c r="K45" s="44"/>
      <c r="L45" s="44"/>
    </row>
    <row r="46" spans="1:12" x14ac:dyDescent="0.25">
      <c r="A46" s="44"/>
      <c r="B46" s="44"/>
      <c r="C46" s="44"/>
      <c r="D46" s="44"/>
      <c r="E46" s="44"/>
      <c r="F46" s="44"/>
      <c r="G46" s="44"/>
      <c r="H46" s="44"/>
      <c r="I46" s="44"/>
      <c r="J46" s="44"/>
      <c r="K46" s="44"/>
      <c r="L46" s="44"/>
    </row>
  </sheetData>
  <sheetProtection algorithmName="SHA-512" hashValue="nXlRZrwB5C1Ipup6R7iT2LNutsIgHsnO1jwJgKCNgN2hQDPynTqaL+tmJGuYwrd0SIGmwNzGHGfwXgZUxRJJDw==" saltValue="4USe9xRtuuWNCyM3a7iteA=="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3" t="s">
        <v>178</v>
      </c>
      <c r="C3" s="93"/>
      <c r="D3" s="93"/>
      <c r="E3" s="93"/>
      <c r="F3" s="93"/>
      <c r="G3" s="1"/>
    </row>
    <row r="4" spans="1:7" ht="15" customHeight="1" x14ac:dyDescent="0.25">
      <c r="A4" s="1"/>
      <c r="B4" s="93"/>
      <c r="C4" s="93"/>
      <c r="D4" s="93"/>
      <c r="E4" s="93"/>
      <c r="F4" s="9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1" t="s">
        <v>70</v>
      </c>
      <c r="C8" s="52"/>
      <c r="D8" s="52"/>
      <c r="E8" s="52"/>
      <c r="F8" s="19"/>
      <c r="G8" s="1"/>
    </row>
    <row r="9" spans="1:7" ht="17.25" customHeight="1" x14ac:dyDescent="0.25">
      <c r="A9" s="1"/>
      <c r="B9" s="72" t="s">
        <v>15</v>
      </c>
      <c r="C9" s="72" t="s">
        <v>10</v>
      </c>
      <c r="D9" s="73"/>
      <c r="E9" s="72" t="s">
        <v>27</v>
      </c>
      <c r="F9" s="30"/>
      <c r="G9" s="1"/>
    </row>
    <row r="10" spans="1:7" x14ac:dyDescent="0.25">
      <c r="A10" s="1"/>
      <c r="B10" s="23" t="s">
        <v>161</v>
      </c>
      <c r="C10" s="21">
        <f>'Fane 9. Anlægsprojekter (§ 19) '!H11</f>
        <v>0</v>
      </c>
      <c r="D10" s="14" t="s">
        <v>3</v>
      </c>
      <c r="E10" s="9">
        <f>'Fane 9. Anlægsprojekter (§ 19) '!F11+'Fane 9. Anlægsprojekter (§ 19) '!J11</f>
        <v>0</v>
      </c>
      <c r="F10" s="14" t="s">
        <v>3</v>
      </c>
      <c r="G10" s="1"/>
    </row>
    <row r="11" spans="1:7" x14ac:dyDescent="0.25">
      <c r="A11" s="1"/>
      <c r="B11" s="27" t="s">
        <v>243</v>
      </c>
      <c r="C11" s="21">
        <v>38251</v>
      </c>
      <c r="D11" s="14" t="s">
        <v>3</v>
      </c>
      <c r="E11" s="9">
        <v>0</v>
      </c>
      <c r="F11" s="14" t="s">
        <v>3</v>
      </c>
      <c r="G11" s="1"/>
    </row>
    <row r="12" spans="1:7" x14ac:dyDescent="0.25">
      <c r="A12" s="1"/>
      <c r="B12" s="27"/>
      <c r="C12" s="21"/>
      <c r="D12" s="14" t="s">
        <v>3</v>
      </c>
      <c r="E12" s="9"/>
      <c r="F12" s="14" t="s">
        <v>3</v>
      </c>
      <c r="G12" s="1"/>
    </row>
    <row r="13" spans="1:7" x14ac:dyDescent="0.25">
      <c r="A13" s="1"/>
      <c r="B13" s="27"/>
      <c r="C13" s="21"/>
      <c r="D13" s="14" t="s">
        <v>3</v>
      </c>
      <c r="E13" s="9"/>
      <c r="F13" s="14" t="s">
        <v>3</v>
      </c>
      <c r="G13" s="1"/>
    </row>
    <row r="14" spans="1:7" x14ac:dyDescent="0.25">
      <c r="A14" s="1"/>
      <c r="B14" s="27"/>
      <c r="C14" s="21"/>
      <c r="D14" s="14" t="s">
        <v>3</v>
      </c>
      <c r="E14" s="9"/>
      <c r="F14" s="14" t="s">
        <v>3</v>
      </c>
      <c r="G14" s="1"/>
    </row>
    <row r="15" spans="1:7" x14ac:dyDescent="0.25">
      <c r="A15" s="1"/>
      <c r="B15" s="27"/>
      <c r="C15" s="21"/>
      <c r="D15" s="14" t="s">
        <v>3</v>
      </c>
      <c r="E15" s="9"/>
      <c r="F15" s="14" t="s">
        <v>3</v>
      </c>
      <c r="G15" s="1"/>
    </row>
    <row r="16" spans="1:7" x14ac:dyDescent="0.25">
      <c r="A16" s="1"/>
      <c r="B16" s="27"/>
      <c r="C16" s="21"/>
      <c r="D16" s="14" t="s">
        <v>3</v>
      </c>
      <c r="E16" s="9"/>
      <c r="F16" s="14" t="s">
        <v>3</v>
      </c>
      <c r="G16" s="1"/>
    </row>
    <row r="17" spans="1:7" x14ac:dyDescent="0.25">
      <c r="A17" s="1"/>
      <c r="B17" s="51" t="s">
        <v>151</v>
      </c>
      <c r="C17" s="12">
        <f>SUM(C10:C16)</f>
        <v>38251</v>
      </c>
      <c r="D17" s="13" t="s">
        <v>3</v>
      </c>
      <c r="E17" s="12">
        <f>SUM(E10:E16)</f>
        <v>0</v>
      </c>
      <c r="F17" s="13" t="s">
        <v>3</v>
      </c>
      <c r="G17" s="1"/>
    </row>
    <row r="18" spans="1:7" x14ac:dyDescent="0.25">
      <c r="A18" s="1"/>
      <c r="B18" s="51" t="s">
        <v>209</v>
      </c>
      <c r="C18" s="12">
        <f>C17*(1+'Fane 13. Nøgletal'!C16)</f>
        <v>41341.680800000002</v>
      </c>
      <c r="D18" s="13" t="s">
        <v>3</v>
      </c>
      <c r="E18" s="12">
        <f>E17*(1+'Fane 13. Nøgletal'!C16)</f>
        <v>0</v>
      </c>
      <c r="F18" s="13" t="s">
        <v>3</v>
      </c>
      <c r="G18" s="1"/>
    </row>
    <row r="19" spans="1:7" x14ac:dyDescent="0.25">
      <c r="A19" s="1"/>
      <c r="B19" s="1"/>
      <c r="C19" s="1" t="s">
        <v>168</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44"/>
      <c r="B51" s="44"/>
      <c r="C51" s="44"/>
      <c r="D51" s="44"/>
      <c r="E51" s="44"/>
      <c r="F51" s="44"/>
      <c r="G51" s="44"/>
    </row>
    <row r="52" spans="1:7" x14ac:dyDescent="0.25">
      <c r="A52" s="44"/>
      <c r="B52" s="44"/>
      <c r="C52" s="44"/>
      <c r="D52" s="44"/>
      <c r="E52" s="44"/>
      <c r="F52" s="44"/>
      <c r="G52" s="44"/>
    </row>
    <row r="53" spans="1:7" x14ac:dyDescent="0.25">
      <c r="A53" s="44"/>
      <c r="B53" s="44"/>
      <c r="C53" s="44"/>
      <c r="D53" s="44"/>
      <c r="E53" s="44"/>
      <c r="F53" s="44"/>
      <c r="G53" s="44"/>
    </row>
    <row r="54" spans="1:7" x14ac:dyDescent="0.25">
      <c r="A54" s="44"/>
      <c r="B54" s="44"/>
      <c r="C54" s="44"/>
      <c r="D54" s="44"/>
      <c r="E54" s="44"/>
      <c r="F54" s="44"/>
      <c r="G54" s="44"/>
    </row>
    <row r="55" spans="1:7" x14ac:dyDescent="0.25">
      <c r="A55" s="44"/>
      <c r="B55" s="44"/>
      <c r="C55" s="44"/>
      <c r="D55" s="44"/>
      <c r="E55" s="44"/>
      <c r="F55" s="44"/>
      <c r="G55" s="44"/>
    </row>
    <row r="56" spans="1:7" x14ac:dyDescent="0.25">
      <c r="A56" s="44"/>
      <c r="B56" s="44"/>
      <c r="C56" s="44"/>
      <c r="D56" s="44"/>
      <c r="E56" s="44"/>
      <c r="F56" s="44"/>
      <c r="G56" s="44"/>
    </row>
    <row r="57" spans="1:7" x14ac:dyDescent="0.25">
      <c r="A57" s="44"/>
      <c r="B57" s="44"/>
      <c r="C57" s="44"/>
      <c r="D57" s="44"/>
      <c r="E57" s="44"/>
      <c r="F57" s="44"/>
      <c r="G57" s="44"/>
    </row>
  </sheetData>
  <sheetProtection algorithmName="SHA-512" hashValue="e4cRG+VCzz/FKQYVGW7a78U2NUTQ2vwj+HnxWOE9dRQX/RjPKZvzoMHRx/oxHR2UtJZiuOGbJGOFlDXlc/8thw==" saltValue="hfRTUZkqykQVHAt5bLkp+A=="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3" t="s">
        <v>179</v>
      </c>
      <c r="C3" s="93"/>
      <c r="D3" s="93"/>
      <c r="E3" s="93"/>
      <c r="F3" s="93"/>
      <c r="G3" s="1"/>
    </row>
    <row r="4" spans="1:7" ht="15" customHeight="1" x14ac:dyDescent="0.25">
      <c r="A4" s="1"/>
      <c r="B4" s="93"/>
      <c r="C4" s="93"/>
      <c r="D4" s="93"/>
      <c r="E4" s="93"/>
      <c r="F4" s="9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03" t="s">
        <v>217</v>
      </c>
      <c r="C9" s="104"/>
      <c r="D9" s="104"/>
      <c r="E9" s="104"/>
      <c r="F9" s="105"/>
      <c r="G9" s="1"/>
    </row>
    <row r="10" spans="1:7" ht="26.25" x14ac:dyDescent="0.25">
      <c r="A10" s="1"/>
      <c r="B10" s="72" t="s">
        <v>15</v>
      </c>
      <c r="C10" s="72" t="s">
        <v>10</v>
      </c>
      <c r="D10" s="73"/>
      <c r="E10" s="72" t="s">
        <v>27</v>
      </c>
      <c r="F10" s="30"/>
      <c r="G10" s="1"/>
    </row>
    <row r="11" spans="1:7" x14ac:dyDescent="0.25">
      <c r="A11" s="1"/>
      <c r="B11" s="23" t="s">
        <v>244</v>
      </c>
      <c r="C11" s="21"/>
      <c r="D11" s="14" t="s">
        <v>3</v>
      </c>
      <c r="E11" s="9"/>
      <c r="F11" s="14" t="s">
        <v>3</v>
      </c>
      <c r="G11" s="1"/>
    </row>
    <row r="12" spans="1:7" x14ac:dyDescent="0.25">
      <c r="A12" s="1"/>
      <c r="B12" s="23"/>
      <c r="C12" s="21"/>
      <c r="D12" s="14" t="s">
        <v>3</v>
      </c>
      <c r="E12" s="9"/>
      <c r="F12" s="14" t="s">
        <v>3</v>
      </c>
      <c r="G12" s="1"/>
    </row>
    <row r="13" spans="1:7" x14ac:dyDescent="0.25">
      <c r="A13" s="1"/>
      <c r="B13" s="23"/>
      <c r="C13" s="21"/>
      <c r="D13" s="14" t="s">
        <v>3</v>
      </c>
      <c r="E13" s="9"/>
      <c r="F13" s="14" t="s">
        <v>3</v>
      </c>
      <c r="G13" s="1"/>
    </row>
    <row r="14" spans="1:7" x14ac:dyDescent="0.25">
      <c r="A14" s="1"/>
      <c r="B14" s="51" t="s">
        <v>218</v>
      </c>
      <c r="C14" s="12">
        <f>SUM(C11:C13)</f>
        <v>0</v>
      </c>
      <c r="D14" s="13" t="s">
        <v>3</v>
      </c>
      <c r="E14" s="12">
        <f>SUM(E11:E13)</f>
        <v>0</v>
      </c>
      <c r="F14" s="13" t="s">
        <v>3</v>
      </c>
      <c r="G14" s="1"/>
    </row>
    <row r="15" spans="1:7" x14ac:dyDescent="0.25">
      <c r="A15" s="1"/>
      <c r="B15" s="51" t="s">
        <v>219</v>
      </c>
      <c r="C15" s="12">
        <f>C14*(1+'Fane 13. Nøgletal'!$C$16)^2</f>
        <v>0</v>
      </c>
      <c r="D15" s="13" t="s">
        <v>3</v>
      </c>
      <c r="E15" s="12">
        <f>E14*(1+'Fane 13. Nøgletal'!$C$16)^2</f>
        <v>0</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EJcD1Hn53nzkPePIhkJkNb+z0dyeSWJyREULO3tzPJzCra4JZsO8E8FlNI/LwM2kBQu1ai/QOGpi9B8YttrQ/g==" saltValue="S7fsqkvEJPLWnSGTDXFdUg=="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6" t="s">
        <v>180</v>
      </c>
      <c r="C3" s="96"/>
      <c r="D3" s="96"/>
      <c r="E3" s="96"/>
      <c r="F3" s="96"/>
      <c r="G3" s="1"/>
    </row>
    <row r="4" spans="1:7" ht="25.5" customHeight="1" x14ac:dyDescent="0.25">
      <c r="A4" s="1"/>
      <c r="B4" s="96"/>
      <c r="C4" s="96"/>
      <c r="D4" s="96"/>
      <c r="E4" s="96"/>
      <c r="F4" s="9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3" t="s">
        <v>104</v>
      </c>
      <c r="C8" s="104"/>
      <c r="D8" s="104"/>
      <c r="E8" s="104"/>
      <c r="F8" s="105"/>
      <c r="G8" s="1"/>
    </row>
    <row r="9" spans="1:7" ht="15" customHeight="1" x14ac:dyDescent="0.25">
      <c r="A9" s="1"/>
      <c r="B9" s="53" t="s">
        <v>105</v>
      </c>
      <c r="C9" s="128" t="s">
        <v>10</v>
      </c>
      <c r="D9" s="130"/>
      <c r="E9" s="128" t="s">
        <v>27</v>
      </c>
      <c r="F9" s="130"/>
      <c r="G9" s="1"/>
    </row>
    <row r="10" spans="1:7" ht="26.25" x14ac:dyDescent="0.25">
      <c r="A10" s="1"/>
      <c r="B10" s="57" t="s">
        <v>241</v>
      </c>
      <c r="C10" s="9">
        <v>0</v>
      </c>
      <c r="D10" s="14" t="s">
        <v>3</v>
      </c>
      <c r="E10" s="9">
        <v>0</v>
      </c>
      <c r="F10" s="14" t="s">
        <v>3</v>
      </c>
      <c r="G10" s="1"/>
    </row>
    <row r="11" spans="1:7" x14ac:dyDescent="0.25">
      <c r="A11" s="1"/>
      <c r="B11" s="23"/>
      <c r="C11" s="9"/>
      <c r="D11" s="14" t="s">
        <v>3</v>
      </c>
      <c r="E11" s="9"/>
      <c r="F11" s="14" t="s">
        <v>3</v>
      </c>
      <c r="G11" s="1"/>
    </row>
    <row r="12" spans="1:7" x14ac:dyDescent="0.25">
      <c r="A12" s="1"/>
      <c r="B12" s="23"/>
      <c r="C12" s="9"/>
      <c r="D12" s="14" t="s">
        <v>3</v>
      </c>
      <c r="E12" s="9"/>
      <c r="F12" s="14" t="s">
        <v>3</v>
      </c>
      <c r="G12" s="1"/>
    </row>
    <row r="13" spans="1:7" ht="28.5" customHeight="1" x14ac:dyDescent="0.25">
      <c r="A13" s="1"/>
      <c r="B13" s="20" t="s">
        <v>152</v>
      </c>
      <c r="C13" s="12">
        <f>SUM(C10:C12)</f>
        <v>0</v>
      </c>
      <c r="D13" s="13" t="s">
        <v>3</v>
      </c>
      <c r="E13" s="12">
        <f>SUM(E10:E12)</f>
        <v>0</v>
      </c>
      <c r="F13" s="13" t="s">
        <v>3</v>
      </c>
      <c r="G13" s="1"/>
    </row>
    <row r="14" spans="1:7" ht="27" customHeight="1" x14ac:dyDescent="0.25">
      <c r="A14" s="1"/>
      <c r="B14" s="20" t="s">
        <v>216</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B4QpWhzwl48NwswkJY/xu8qvYbNnR48BpkShYS4K5HNLEqhKH/qO2jdCaRiLjbvCPyi+J/2du3UU14JRuVRC5w==" saltValue="NQk6XPhTd003mwctV4FcqQ=="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28515625" style="2" customWidth="1"/>
    <col min="3" max="3" width="17.140625" style="2" customWidth="1"/>
    <col min="4" max="4" width="3.28515625" style="2" customWidth="1"/>
    <col min="5" max="5" width="17.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6" t="s">
        <v>181</v>
      </c>
      <c r="C3" s="96"/>
      <c r="D3" s="96"/>
      <c r="E3" s="96"/>
      <c r="F3" s="96"/>
      <c r="G3" s="1"/>
    </row>
    <row r="4" spans="1:7" ht="25.5" customHeight="1" x14ac:dyDescent="0.25">
      <c r="A4" s="1"/>
      <c r="B4" s="96"/>
      <c r="C4" s="96"/>
      <c r="D4" s="96"/>
      <c r="E4" s="96"/>
      <c r="F4" s="9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03" t="s">
        <v>237</v>
      </c>
      <c r="C10" s="104"/>
      <c r="D10" s="104"/>
      <c r="E10" s="104"/>
      <c r="F10" s="105"/>
      <c r="G10" s="1"/>
    </row>
    <row r="11" spans="1:7" ht="26.25" x14ac:dyDescent="0.25">
      <c r="A11" s="1"/>
      <c r="B11" s="53" t="s">
        <v>16</v>
      </c>
      <c r="C11" s="53" t="s">
        <v>10</v>
      </c>
      <c r="D11" s="30"/>
      <c r="E11" s="53" t="s">
        <v>27</v>
      </c>
      <c r="F11" s="30"/>
      <c r="G11" s="1"/>
    </row>
    <row r="12" spans="1:7" x14ac:dyDescent="0.25">
      <c r="A12" s="1"/>
      <c r="B12" s="57" t="s">
        <v>242</v>
      </c>
      <c r="C12" s="9">
        <v>0</v>
      </c>
      <c r="D12" s="14" t="s">
        <v>3</v>
      </c>
      <c r="E12" s="9">
        <v>0</v>
      </c>
      <c r="F12" s="14" t="s">
        <v>3</v>
      </c>
      <c r="G12" s="1"/>
    </row>
    <row r="13" spans="1:7" x14ac:dyDescent="0.25">
      <c r="A13" s="1"/>
      <c r="B13" s="51" t="s">
        <v>78</v>
      </c>
      <c r="C13" s="12">
        <f>SUM(C12:C12)</f>
        <v>0</v>
      </c>
      <c r="D13" s="13" t="s">
        <v>3</v>
      </c>
      <c r="E13" s="12">
        <f>SUM(E12:E12)</f>
        <v>0</v>
      </c>
      <c r="F13" s="13" t="s">
        <v>3</v>
      </c>
      <c r="G13" s="1"/>
    </row>
    <row r="14" spans="1:7" x14ac:dyDescent="0.25">
      <c r="A14" s="1"/>
      <c r="B14" s="51" t="s">
        <v>233</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5awfy0p+6Gq044XaUnV3gRzbUMQR0H+9pqyNjxkH0Y/wjk6U2ViSlpq40bMQMddG0z4mooHAcsMs4Mrhg8JsOg==" saltValue="wIpQi5Oj+tGbBXloqT3kdg=="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3"/>
  <sheetViews>
    <sheetView showGridLines="0" view="pageLayout" zoomScaleNormal="100" workbookViewId="0"/>
  </sheetViews>
  <sheetFormatPr defaultColWidth="9.140625" defaultRowHeight="15" x14ac:dyDescent="0.25"/>
  <cols>
    <col min="1" max="1" width="9" style="2" customWidth="1"/>
    <col min="2" max="2" width="56.28515625" style="2" customWidth="1"/>
    <col min="3" max="3" width="6.7109375" style="43" customWidth="1"/>
    <col min="4" max="4" width="9" style="2" customWidth="1"/>
    <col min="5" max="16384" width="9.140625" style="2"/>
  </cols>
  <sheetData>
    <row r="1" spans="1:4" x14ac:dyDescent="0.25">
      <c r="A1" s="1"/>
      <c r="B1" s="1"/>
      <c r="C1" s="38"/>
      <c r="D1" s="1"/>
    </row>
    <row r="2" spans="1:4" x14ac:dyDescent="0.25">
      <c r="A2" s="1"/>
      <c r="B2" s="1"/>
      <c r="C2" s="38"/>
      <c r="D2" s="1"/>
    </row>
    <row r="3" spans="1:4" ht="15" customHeight="1" x14ac:dyDescent="0.25">
      <c r="A3" s="1"/>
      <c r="B3" s="96" t="s">
        <v>182</v>
      </c>
      <c r="C3" s="96"/>
      <c r="D3" s="1"/>
    </row>
    <row r="4" spans="1:4" ht="25.5" customHeight="1" x14ac:dyDescent="0.25">
      <c r="A4" s="1"/>
      <c r="B4" s="96"/>
      <c r="C4" s="96"/>
      <c r="D4" s="1"/>
    </row>
    <row r="5" spans="1:4" x14ac:dyDescent="0.25">
      <c r="A5" s="1"/>
      <c r="B5" s="1"/>
      <c r="C5" s="38"/>
      <c r="D5" s="1"/>
    </row>
    <row r="6" spans="1:4" x14ac:dyDescent="0.25">
      <c r="A6" s="1"/>
      <c r="B6" s="1"/>
      <c r="C6" s="38"/>
      <c r="D6" s="1"/>
    </row>
    <row r="7" spans="1:4" x14ac:dyDescent="0.25">
      <c r="A7" s="1"/>
      <c r="B7" s="1"/>
      <c r="C7" s="38"/>
      <c r="D7" s="1"/>
    </row>
    <row r="8" spans="1:4" x14ac:dyDescent="0.25">
      <c r="A8" s="1"/>
      <c r="B8" s="51" t="s">
        <v>13</v>
      </c>
      <c r="C8" s="39"/>
      <c r="D8" s="1"/>
    </row>
    <row r="9" spans="1:4" x14ac:dyDescent="0.25">
      <c r="A9" s="1"/>
      <c r="B9" s="67" t="s">
        <v>93</v>
      </c>
      <c r="C9" s="40">
        <v>1.2699999999999999E-2</v>
      </c>
      <c r="D9" s="1"/>
    </row>
    <row r="10" spans="1:4" x14ac:dyDescent="0.25">
      <c r="A10" s="1"/>
      <c r="B10" s="67" t="s">
        <v>21</v>
      </c>
      <c r="C10" s="40">
        <v>1.7500000000000002E-2</v>
      </c>
      <c r="D10" s="1"/>
    </row>
    <row r="11" spans="1:4" x14ac:dyDescent="0.25">
      <c r="A11" s="1"/>
      <c r="B11" s="67" t="s">
        <v>94</v>
      </c>
      <c r="C11" s="40">
        <v>1.6899999999999998E-2</v>
      </c>
      <c r="D11" s="1"/>
    </row>
    <row r="12" spans="1:4" x14ac:dyDescent="0.25">
      <c r="A12" s="1"/>
      <c r="B12" s="25" t="s">
        <v>35</v>
      </c>
      <c r="C12" s="41">
        <v>1.9699999999999999E-2</v>
      </c>
      <c r="D12" s="1"/>
    </row>
    <row r="13" spans="1:4" x14ac:dyDescent="0.25">
      <c r="A13" s="1"/>
      <c r="B13" s="25" t="s">
        <v>110</v>
      </c>
      <c r="C13" s="41">
        <v>1.2200000000000001E-2</v>
      </c>
      <c r="D13" s="1"/>
    </row>
    <row r="14" spans="1:4" x14ac:dyDescent="0.25">
      <c r="A14" s="1"/>
      <c r="B14" s="25" t="s">
        <v>136</v>
      </c>
      <c r="C14" s="42">
        <v>3.3E-3</v>
      </c>
      <c r="D14" s="1"/>
    </row>
    <row r="15" spans="1:4" x14ac:dyDescent="0.25">
      <c r="A15" s="1"/>
      <c r="B15" s="25" t="s">
        <v>153</v>
      </c>
      <c r="C15" s="42">
        <v>3.56E-2</v>
      </c>
      <c r="D15" s="1"/>
    </row>
    <row r="16" spans="1:4" x14ac:dyDescent="0.25">
      <c r="A16" s="1"/>
      <c r="B16" s="50" t="s">
        <v>207</v>
      </c>
      <c r="C16" s="42">
        <v>8.0799999999999997E-2</v>
      </c>
      <c r="D16" s="1"/>
    </row>
    <row r="17" spans="1:4" x14ac:dyDescent="0.25">
      <c r="A17" s="1"/>
      <c r="B17" s="103"/>
      <c r="C17" s="105"/>
      <c r="D17" s="1"/>
    </row>
    <row r="18" spans="1:4" x14ac:dyDescent="0.25">
      <c r="A18" s="1"/>
      <c r="B18" s="1"/>
      <c r="C18" s="38"/>
      <c r="D18" s="1"/>
    </row>
    <row r="19" spans="1:4" x14ac:dyDescent="0.25">
      <c r="A19" s="1"/>
      <c r="B19" s="1"/>
      <c r="C19" s="38"/>
      <c r="D19" s="1"/>
    </row>
    <row r="20" spans="1:4" x14ac:dyDescent="0.25">
      <c r="A20" s="1"/>
      <c r="B20" s="51" t="s">
        <v>81</v>
      </c>
      <c r="C20" s="39"/>
      <c r="D20" s="1"/>
    </row>
    <row r="21" spans="1:4" x14ac:dyDescent="0.25">
      <c r="A21" s="1"/>
      <c r="B21" s="67" t="s">
        <v>95</v>
      </c>
      <c r="C21" s="42">
        <v>9.1000000000000004E-3</v>
      </c>
      <c r="D21" s="1"/>
    </row>
    <row r="22" spans="1:4" x14ac:dyDescent="0.25">
      <c r="A22" s="1"/>
      <c r="B22" s="67" t="s">
        <v>96</v>
      </c>
      <c r="C22" s="42">
        <v>1.77E-2</v>
      </c>
      <c r="D22" s="1"/>
    </row>
    <row r="23" spans="1:4" x14ac:dyDescent="0.25">
      <c r="A23" s="1"/>
      <c r="B23" s="67" t="s">
        <v>97</v>
      </c>
      <c r="C23" s="42">
        <v>8.6999999999999994E-3</v>
      </c>
      <c r="D23" s="1"/>
    </row>
    <row r="24" spans="1:4" x14ac:dyDescent="0.25">
      <c r="A24" s="1"/>
      <c r="B24" s="67" t="s">
        <v>98</v>
      </c>
      <c r="C24" s="42">
        <v>2.8400000000000002E-2</v>
      </c>
      <c r="D24" s="1"/>
    </row>
    <row r="25" spans="1:4" x14ac:dyDescent="0.25">
      <c r="A25" s="1"/>
      <c r="B25" s="67" t="s">
        <v>111</v>
      </c>
      <c r="C25" s="42">
        <v>2.75E-2</v>
      </c>
      <c r="D25" s="1"/>
    </row>
    <row r="26" spans="1:4" x14ac:dyDescent="0.25">
      <c r="A26" s="1"/>
      <c r="B26" s="67" t="s">
        <v>137</v>
      </c>
      <c r="C26" s="42">
        <v>1.4800000000000001E-2</v>
      </c>
      <c r="D26" s="1"/>
    </row>
    <row r="27" spans="1:4" x14ac:dyDescent="0.25">
      <c r="A27" s="1"/>
      <c r="B27" s="25" t="s">
        <v>154</v>
      </c>
      <c r="C27" s="42">
        <v>0</v>
      </c>
      <c r="D27" s="1"/>
    </row>
    <row r="28" spans="1:4" x14ac:dyDescent="0.25">
      <c r="A28" s="1"/>
      <c r="B28" s="50" t="s">
        <v>208</v>
      </c>
      <c r="C28" s="42">
        <v>0</v>
      </c>
      <c r="D28" s="1"/>
    </row>
    <row r="29" spans="1:4" x14ac:dyDescent="0.25">
      <c r="A29" s="1"/>
      <c r="B29" s="51"/>
      <c r="C29" s="39"/>
      <c r="D29" s="1"/>
    </row>
    <row r="30" spans="1:4" x14ac:dyDescent="0.25">
      <c r="A30" s="1"/>
      <c r="B30" s="1"/>
      <c r="C30" s="38"/>
      <c r="D30" s="1"/>
    </row>
    <row r="31" spans="1:4" x14ac:dyDescent="0.25">
      <c r="A31" s="1"/>
      <c r="B31" s="1"/>
      <c r="C31" s="38"/>
      <c r="D31" s="1"/>
    </row>
    <row r="32" spans="1:4" x14ac:dyDescent="0.25">
      <c r="A32" s="1"/>
      <c r="B32" s="51" t="s">
        <v>82</v>
      </c>
      <c r="C32" s="39"/>
      <c r="D32" s="1"/>
    </row>
    <row r="33" spans="1:4" x14ac:dyDescent="0.25">
      <c r="A33" s="1"/>
      <c r="B33" s="67" t="s">
        <v>99</v>
      </c>
      <c r="C33" s="40">
        <v>0.02</v>
      </c>
      <c r="D33" s="1"/>
    </row>
    <row r="34" spans="1:4" x14ac:dyDescent="0.25">
      <c r="A34" s="1"/>
      <c r="B34" s="51"/>
      <c r="C34" s="39"/>
      <c r="D34" s="1"/>
    </row>
    <row r="35" spans="1:4" x14ac:dyDescent="0.25">
      <c r="A35" s="1"/>
      <c r="B35" s="1"/>
      <c r="C35" s="38"/>
      <c r="D35" s="1"/>
    </row>
    <row r="36" spans="1:4" x14ac:dyDescent="0.25">
      <c r="A36" s="1"/>
      <c r="B36" s="1"/>
      <c r="C36" s="38"/>
      <c r="D36" s="1"/>
    </row>
    <row r="37" spans="1:4" x14ac:dyDescent="0.25">
      <c r="A37" s="1"/>
      <c r="B37" s="1"/>
      <c r="C37" s="38"/>
      <c r="D37" s="1"/>
    </row>
    <row r="38" spans="1:4" x14ac:dyDescent="0.25">
      <c r="A38" s="1"/>
      <c r="B38" s="1"/>
      <c r="C38" s="38"/>
      <c r="D38" s="1"/>
    </row>
    <row r="39" spans="1:4" x14ac:dyDescent="0.25">
      <c r="A39" s="1"/>
      <c r="B39" s="1"/>
      <c r="C39" s="38"/>
      <c r="D39" s="1"/>
    </row>
    <row r="40" spans="1:4" x14ac:dyDescent="0.25">
      <c r="A40" s="1"/>
      <c r="B40" s="1"/>
      <c r="C40" s="38"/>
      <c r="D40" s="1"/>
    </row>
    <row r="41" spans="1:4" x14ac:dyDescent="0.25">
      <c r="A41" s="1"/>
      <c r="B41" s="1"/>
      <c r="C41" s="38"/>
      <c r="D41" s="1"/>
    </row>
    <row r="42" spans="1:4" x14ac:dyDescent="0.25">
      <c r="A42" s="1"/>
      <c r="B42" s="1"/>
      <c r="C42" s="38"/>
      <c r="D42" s="1"/>
    </row>
    <row r="43" spans="1:4" x14ac:dyDescent="0.25">
      <c r="A43" s="1"/>
      <c r="B43" s="1"/>
      <c r="C43" s="38"/>
      <c r="D43" s="1"/>
    </row>
    <row r="44" spans="1:4" x14ac:dyDescent="0.25">
      <c r="A44" s="1"/>
      <c r="B44" s="1"/>
      <c r="C44" s="38"/>
      <c r="D44" s="1"/>
    </row>
    <row r="45" spans="1:4" x14ac:dyDescent="0.25">
      <c r="A45" s="1"/>
      <c r="B45" s="1"/>
      <c r="C45" s="38"/>
      <c r="D45" s="1"/>
    </row>
    <row r="46" spans="1:4" x14ac:dyDescent="0.25">
      <c r="A46" s="1"/>
      <c r="B46" s="1"/>
      <c r="C46" s="38"/>
      <c r="D46" s="1"/>
    </row>
    <row r="47" spans="1:4" x14ac:dyDescent="0.25">
      <c r="A47" s="1"/>
      <c r="B47" s="1"/>
      <c r="C47" s="38"/>
      <c r="D47" s="1"/>
    </row>
    <row r="48" spans="1:4" x14ac:dyDescent="0.25">
      <c r="A48" s="1"/>
      <c r="B48" s="1"/>
      <c r="C48" s="38"/>
      <c r="D48" s="1"/>
    </row>
    <row r="49" spans="1:4" x14ac:dyDescent="0.25">
      <c r="A49" s="1"/>
      <c r="B49" s="1"/>
      <c r="C49" s="38"/>
      <c r="D49" s="1"/>
    </row>
    <row r="50" spans="1:4" x14ac:dyDescent="0.25">
      <c r="A50" s="44"/>
      <c r="B50" s="44"/>
      <c r="C50" s="46"/>
      <c r="D50" s="44"/>
    </row>
    <row r="51" spans="1:4" x14ac:dyDescent="0.25">
      <c r="A51" s="44"/>
      <c r="B51" s="44"/>
      <c r="C51" s="46"/>
      <c r="D51" s="44"/>
    </row>
    <row r="52" spans="1:4" x14ac:dyDescent="0.25">
      <c r="A52" s="44"/>
      <c r="B52" s="44"/>
      <c r="C52" s="46"/>
      <c r="D52" s="44"/>
    </row>
    <row r="53" spans="1:4" x14ac:dyDescent="0.25">
      <c r="A53" s="44"/>
      <c r="B53" s="44"/>
      <c r="C53" s="46"/>
      <c r="D53" s="44"/>
    </row>
  </sheetData>
  <sheetProtection algorithmName="SHA-512" hashValue="d4ebvkZ7en4Dyn/1XNN1Ru/Pb3mx9Vp3MVgfL5q5+FOI44ON9Sx9bmyE8DEZN3VgRVFcjEoGjkMwGtkhzl2cgg==" saltValue="DZMZNe+ZRWUE2rUwf+IEqg==" spinCount="100000" sheet="1" objects="1" scenarios="1"/>
  <mergeCells count="2">
    <mergeCell ref="B3:C4"/>
    <mergeCell ref="B17:C17"/>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3" t="s">
        <v>198</v>
      </c>
      <c r="C3" s="93"/>
      <c r="D3" s="93"/>
      <c r="E3" s="1"/>
    </row>
    <row r="4" spans="1:5" ht="15" customHeight="1" x14ac:dyDescent="0.25">
      <c r="A4" s="1"/>
      <c r="B4" s="93"/>
      <c r="C4" s="93"/>
      <c r="D4" s="93"/>
      <c r="E4" s="1"/>
    </row>
    <row r="5" spans="1:5" x14ac:dyDescent="0.25">
      <c r="A5" s="1"/>
      <c r="B5" s="1"/>
      <c r="C5" s="1"/>
      <c r="D5" s="1"/>
      <c r="E5" s="1"/>
    </row>
    <row r="6" spans="1:5" x14ac:dyDescent="0.25">
      <c r="A6" s="1"/>
      <c r="B6" s="1"/>
      <c r="C6" s="1"/>
      <c r="D6" s="1"/>
      <c r="E6" s="1"/>
    </row>
    <row r="7" spans="1:5" x14ac:dyDescent="0.25">
      <c r="A7" s="1"/>
      <c r="B7" s="51" t="s">
        <v>12</v>
      </c>
      <c r="C7" s="52"/>
      <c r="D7" s="19"/>
      <c r="E7" s="1"/>
    </row>
    <row r="8" spans="1:5" x14ac:dyDescent="0.25">
      <c r="A8" s="1"/>
      <c r="B8" s="54" t="s">
        <v>109</v>
      </c>
      <c r="C8" s="7">
        <f>'Fane 3. Omkostninger i ØR2023'!C19</f>
        <v>11347190.956211511</v>
      </c>
      <c r="D8" s="8" t="s">
        <v>3</v>
      </c>
      <c r="E8" s="1"/>
    </row>
    <row r="9" spans="1:5" ht="17.100000000000001" customHeight="1" x14ac:dyDescent="0.25">
      <c r="A9" s="1"/>
      <c r="B9" s="24" t="s">
        <v>33</v>
      </c>
      <c r="C9" s="7">
        <f>'Fane 10.1. Varige tillæg'!C18</f>
        <v>41341.680800000002</v>
      </c>
      <c r="D9" s="8" t="s">
        <v>3</v>
      </c>
      <c r="E9" s="1"/>
    </row>
    <row r="10" spans="1:5" ht="17.100000000000001" customHeight="1" x14ac:dyDescent="0.25">
      <c r="A10" s="1"/>
      <c r="B10" s="24" t="s">
        <v>34</v>
      </c>
      <c r="C10" s="9">
        <f>'Fane 10.1. Varige tillæg'!E18</f>
        <v>0</v>
      </c>
      <c r="D10" s="8" t="s">
        <v>3</v>
      </c>
      <c r="E10" s="1"/>
    </row>
    <row r="11" spans="1:5" ht="17.100000000000001" customHeight="1" x14ac:dyDescent="0.25">
      <c r="A11" s="1"/>
      <c r="B11" s="24" t="s">
        <v>25</v>
      </c>
      <c r="C11" s="9">
        <f>-'Fane 12. Bortfald'!C14</f>
        <v>0</v>
      </c>
      <c r="D11" s="8" t="s">
        <v>3</v>
      </c>
      <c r="E11" s="1"/>
    </row>
    <row r="12" spans="1:5" ht="17.100000000000001" customHeight="1" x14ac:dyDescent="0.25">
      <c r="A12" s="1"/>
      <c r="B12" s="24" t="s">
        <v>24</v>
      </c>
      <c r="C12" s="9">
        <f>-'Fane 12. Bortfald'!E14</f>
        <v>0</v>
      </c>
      <c r="D12" s="8" t="s">
        <v>3</v>
      </c>
      <c r="E12" s="1"/>
    </row>
    <row r="13" spans="1:5" ht="17.100000000000001" customHeight="1" x14ac:dyDescent="0.25">
      <c r="A13" s="1"/>
      <c r="B13" s="24" t="s">
        <v>106</v>
      </c>
      <c r="C13" s="9">
        <f>'Fane 11. Tilknyttet virksomhed'!C14</f>
        <v>0</v>
      </c>
      <c r="D13" s="8" t="s">
        <v>3</v>
      </c>
      <c r="E13" s="1"/>
    </row>
    <row r="14" spans="1:5" ht="17.100000000000001" customHeight="1" x14ac:dyDescent="0.25">
      <c r="A14" s="1"/>
      <c r="B14" s="24" t="s">
        <v>107</v>
      </c>
      <c r="C14" s="9">
        <f>'Fane 11. Tilknyttet virksomhed'!E14</f>
        <v>0</v>
      </c>
      <c r="D14" s="8" t="s">
        <v>3</v>
      </c>
      <c r="E14" s="1"/>
    </row>
    <row r="15" spans="1:5" ht="17.100000000000001" customHeight="1" x14ac:dyDescent="0.25">
      <c r="A15" s="1"/>
      <c r="B15" s="24" t="s">
        <v>17</v>
      </c>
      <c r="C15" s="9">
        <f>C8*'Fane 13. Nøgletal'!C15+SUM(C9:C14)*'Fane 13. Nøgletal'!C16</f>
        <v>407300.40584976977</v>
      </c>
      <c r="D15" s="8" t="s">
        <v>3</v>
      </c>
      <c r="E15" s="1"/>
    </row>
    <row r="16" spans="1:5" ht="17.100000000000001" customHeight="1" x14ac:dyDescent="0.25">
      <c r="A16" s="1"/>
      <c r="B16" s="24" t="s">
        <v>9</v>
      </c>
      <c r="C16" s="9">
        <f>-SUM(C8,C9:C15)*'Fane 5. Individuelt eff. krav'!G9</f>
        <v>-154723.98975957607</v>
      </c>
      <c r="D16" s="8" t="s">
        <v>3</v>
      </c>
      <c r="E16" s="1"/>
    </row>
    <row r="17" spans="1:5" ht="17.100000000000001" customHeight="1" x14ac:dyDescent="0.25">
      <c r="A17" s="1"/>
      <c r="B17" s="24" t="s">
        <v>22</v>
      </c>
      <c r="C17" s="9">
        <f>-'Fane 4.1. Gen. krav - drift'!G49</f>
        <v>-137121.10307102682</v>
      </c>
      <c r="D17" s="8" t="s">
        <v>3</v>
      </c>
      <c r="E17" s="1"/>
    </row>
    <row r="18" spans="1:5" ht="17.100000000000001" customHeight="1" x14ac:dyDescent="0.25">
      <c r="A18" s="1"/>
      <c r="B18" s="24" t="s">
        <v>23</v>
      </c>
      <c r="C18" s="9">
        <f>-'Fane 4.2. Gen. krav - anlæg'!G49</f>
        <v>0</v>
      </c>
      <c r="D18" s="8" t="s">
        <v>3</v>
      </c>
      <c r="E18" s="1"/>
    </row>
    <row r="19" spans="1:5" ht="17.100000000000001" customHeight="1" x14ac:dyDescent="0.25">
      <c r="A19" s="1"/>
      <c r="B19" s="69" t="s">
        <v>19</v>
      </c>
      <c r="C19" s="10">
        <f>SUM(C8:C18)</f>
        <v>11503987.950030679</v>
      </c>
      <c r="D19" s="11" t="s">
        <v>3</v>
      </c>
      <c r="E19" s="1"/>
    </row>
    <row r="20" spans="1:5" ht="15" customHeight="1" x14ac:dyDescent="0.25">
      <c r="A20" s="1"/>
      <c r="B20" s="51" t="s">
        <v>11</v>
      </c>
      <c r="C20" s="52"/>
      <c r="D20" s="19"/>
      <c r="E20" s="1"/>
    </row>
    <row r="21" spans="1:5" ht="15" customHeight="1" x14ac:dyDescent="0.25">
      <c r="A21" s="1"/>
      <c r="B21" s="53" t="s">
        <v>11</v>
      </c>
      <c r="C21" s="10">
        <f>'Fane 6. Ikke-påvirkelige omk.'!C20</f>
        <v>8749343.0881606396</v>
      </c>
      <c r="D21" s="11" t="s">
        <v>3</v>
      </c>
      <c r="E21" s="1"/>
    </row>
    <row r="22" spans="1:5" ht="15" customHeight="1" x14ac:dyDescent="0.25">
      <c r="A22" s="1"/>
      <c r="B22" s="51" t="s">
        <v>75</v>
      </c>
      <c r="C22" s="52"/>
      <c r="D22" s="19"/>
      <c r="E22" s="1"/>
    </row>
    <row r="23" spans="1:5" ht="15" customHeight="1" x14ac:dyDescent="0.25">
      <c r="A23" s="1"/>
      <c r="B23" s="24" t="s">
        <v>71</v>
      </c>
      <c r="C23" s="9">
        <f>'Fane 10.2. Engangstillæg'!C15</f>
        <v>0</v>
      </c>
      <c r="D23" s="8" t="s">
        <v>3</v>
      </c>
      <c r="E23" s="1"/>
    </row>
    <row r="24" spans="1:5" ht="15" customHeight="1" x14ac:dyDescent="0.25">
      <c r="A24" s="1"/>
      <c r="B24" s="24" t="s">
        <v>72</v>
      </c>
      <c r="C24" s="9">
        <f>'Fane 10.2. Engangstillæg'!E15</f>
        <v>0</v>
      </c>
      <c r="D24" s="8" t="s">
        <v>3</v>
      </c>
      <c r="E24" s="1"/>
    </row>
    <row r="25" spans="1:5" ht="15" customHeight="1" x14ac:dyDescent="0.25">
      <c r="A25" s="1"/>
      <c r="B25" s="24" t="s">
        <v>164</v>
      </c>
      <c r="C25" s="9">
        <f>-C23*('Fane 13. Nøgletal'!C33+'Fane 5. Individuelt eff. krav'!G9)</f>
        <v>0</v>
      </c>
      <c r="D25" s="8" t="s">
        <v>3</v>
      </c>
      <c r="E25" s="1"/>
    </row>
    <row r="26" spans="1:5" ht="15" customHeight="1" x14ac:dyDescent="0.25">
      <c r="A26" s="1"/>
      <c r="B26" s="24" t="s">
        <v>165</v>
      </c>
      <c r="C26" s="9">
        <f>-C24*('Fane 13. Nøgletal'!C28+'Fane 5. Individuelt eff. krav'!G9)</f>
        <v>0</v>
      </c>
      <c r="D26" s="8" t="s">
        <v>3</v>
      </c>
      <c r="E26" s="1"/>
    </row>
    <row r="27" spans="1:5" x14ac:dyDescent="0.25">
      <c r="A27" s="1"/>
      <c r="B27" s="69" t="s">
        <v>76</v>
      </c>
      <c r="C27" s="10">
        <f>SUM(C23:C26)</f>
        <v>0</v>
      </c>
      <c r="D27" s="11" t="s">
        <v>3</v>
      </c>
      <c r="E27" s="1"/>
    </row>
    <row r="28" spans="1:5" ht="15" customHeight="1" x14ac:dyDescent="0.25">
      <c r="A28" s="1"/>
      <c r="B28" s="26" t="s">
        <v>117</v>
      </c>
      <c r="C28" s="52"/>
      <c r="D28" s="19"/>
      <c r="E28" s="1"/>
    </row>
    <row r="29" spans="1:5" x14ac:dyDescent="0.25">
      <c r="A29" s="1"/>
      <c r="B29" s="68" t="s">
        <v>118</v>
      </c>
      <c r="C29" s="10">
        <f>'Fane 7. Kontrol af ØR2022'!E27</f>
        <v>0</v>
      </c>
      <c r="D29" s="11" t="s">
        <v>3</v>
      </c>
      <c r="E29" s="1"/>
    </row>
    <row r="30" spans="1:5" x14ac:dyDescent="0.25">
      <c r="A30" s="1"/>
      <c r="B30" s="26" t="s">
        <v>138</v>
      </c>
      <c r="C30" s="52"/>
      <c r="D30" s="19"/>
      <c r="E30" s="1"/>
    </row>
    <row r="31" spans="1:5" x14ac:dyDescent="0.25">
      <c r="A31" s="1"/>
      <c r="B31" s="68" t="s">
        <v>139</v>
      </c>
      <c r="C31" s="10">
        <f>'Fane 8. Skattesagen'!G13</f>
        <v>0</v>
      </c>
      <c r="D31" s="11" t="s">
        <v>3</v>
      </c>
      <c r="E31" s="1"/>
    </row>
    <row r="32" spans="1:5" x14ac:dyDescent="0.25">
      <c r="A32" s="1"/>
      <c r="B32" s="51" t="s">
        <v>126</v>
      </c>
      <c r="C32" s="33">
        <f>SUM(C19,C21,C27,C29,C31)</f>
        <v>20253331.038191319</v>
      </c>
      <c r="D32" s="19" t="s">
        <v>3</v>
      </c>
      <c r="E32" s="1"/>
    </row>
    <row r="33" spans="1:5" x14ac:dyDescent="0.25">
      <c r="A33" s="1"/>
      <c r="B33" s="1" t="s">
        <v>168</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csHuSCH8zMKsgPcJIVF7WM6yb29PIeAFWkwEoDG2Or6X0MQ6CQ3/nQluBHdlqdzPcYcth0NFoQOdk8ykYX2d9w==" saltValue="fNqqEj0TukRl8E1Y5h21xg=="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62.425781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3" t="s">
        <v>199</v>
      </c>
      <c r="C3" s="93"/>
      <c r="D3" s="93"/>
      <c r="E3" s="1"/>
    </row>
    <row r="4" spans="1:5" ht="15" customHeight="1" x14ac:dyDescent="0.25">
      <c r="A4" s="1"/>
      <c r="B4" s="93"/>
      <c r="C4" s="93"/>
      <c r="D4" s="93"/>
      <c r="E4" s="1"/>
    </row>
    <row r="5" spans="1:5" x14ac:dyDescent="0.25">
      <c r="A5" s="1"/>
      <c r="B5" s="94" t="s">
        <v>20</v>
      </c>
      <c r="C5" s="94"/>
      <c r="D5" s="94"/>
      <c r="E5" s="1"/>
    </row>
    <row r="6" spans="1:5" x14ac:dyDescent="0.25">
      <c r="A6" s="1"/>
      <c r="B6" s="1"/>
      <c r="C6" s="1"/>
      <c r="D6" s="1"/>
      <c r="E6" s="1"/>
    </row>
    <row r="7" spans="1:5" x14ac:dyDescent="0.25">
      <c r="A7" s="1"/>
      <c r="B7" s="51" t="s">
        <v>12</v>
      </c>
      <c r="C7" s="52"/>
      <c r="D7" s="19"/>
      <c r="E7" s="1"/>
    </row>
    <row r="8" spans="1:5" ht="15" customHeight="1" x14ac:dyDescent="0.25">
      <c r="A8" s="1"/>
      <c r="B8" s="54" t="s">
        <v>127</v>
      </c>
      <c r="C8" s="7">
        <f>'Fane 2.1. Økonomisk ramme 2024'!C19</f>
        <v>11503987.950030679</v>
      </c>
      <c r="D8" s="8" t="s">
        <v>3</v>
      </c>
      <c r="E8" s="1"/>
    </row>
    <row r="9" spans="1:5" ht="15" customHeight="1" x14ac:dyDescent="0.25">
      <c r="A9" s="1"/>
      <c r="B9" s="29" t="s">
        <v>17</v>
      </c>
      <c r="C9" s="9">
        <f>SUM(C8:C8)*'Fane 13. Nøgletal'!C16</f>
        <v>929522.2263624788</v>
      </c>
      <c r="D9" s="8" t="s">
        <v>3</v>
      </c>
      <c r="E9" s="1"/>
    </row>
    <row r="10" spans="1:5" ht="15" customHeight="1" x14ac:dyDescent="0.25">
      <c r="A10" s="1"/>
      <c r="B10" s="29" t="s">
        <v>9</v>
      </c>
      <c r="C10" s="9">
        <f>-SUM(C8:C9)*'Fane 5. Individuelt eff. krav'!G9</f>
        <v>-163088.29518166851</v>
      </c>
      <c r="D10" s="8" t="s">
        <v>3</v>
      </c>
      <c r="E10" s="1"/>
    </row>
    <row r="11" spans="1:5" ht="15" customHeight="1" x14ac:dyDescent="0.25">
      <c r="A11" s="1"/>
      <c r="B11" s="29" t="s">
        <v>22</v>
      </c>
      <c r="C11" s="9">
        <f>-'Fane 4.1. Gen. krav - drift'!G54</f>
        <v>-145236.47843518251</v>
      </c>
      <c r="D11" s="8" t="s">
        <v>3</v>
      </c>
      <c r="E11" s="1"/>
    </row>
    <row r="12" spans="1:5" ht="15" customHeight="1" x14ac:dyDescent="0.25">
      <c r="A12" s="1"/>
      <c r="B12" s="29" t="s">
        <v>23</v>
      </c>
      <c r="C12" s="9">
        <f>-'Fane 4.2. Gen. krav - anlæg'!G54</f>
        <v>0</v>
      </c>
      <c r="D12" s="8" t="s">
        <v>3</v>
      </c>
      <c r="E12" s="1"/>
    </row>
    <row r="13" spans="1:5" ht="15" customHeight="1" x14ac:dyDescent="0.25">
      <c r="A13" s="1"/>
      <c r="B13" s="32" t="s">
        <v>19</v>
      </c>
      <c r="C13" s="10">
        <f>SUM(C8:C12)</f>
        <v>12125185.402776305</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f>
        <v>9456290.0096840188</v>
      </c>
      <c r="D15" s="11" t="s">
        <v>3</v>
      </c>
      <c r="E15" s="1"/>
    </row>
    <row r="16" spans="1:5" x14ac:dyDescent="0.25">
      <c r="A16" s="1"/>
      <c r="B16" s="26" t="s">
        <v>117</v>
      </c>
      <c r="C16" s="52"/>
      <c r="D16" s="19"/>
      <c r="E16" s="1"/>
    </row>
    <row r="17" spans="1:5" ht="15" customHeight="1" x14ac:dyDescent="0.25">
      <c r="A17" s="1"/>
      <c r="B17" s="68" t="s">
        <v>118</v>
      </c>
      <c r="C17" s="10">
        <f>'Fane 7. Kontrol af ØR2022'!E33</f>
        <v>-20049.073039902374</v>
      </c>
      <c r="D17" s="11" t="s">
        <v>3</v>
      </c>
      <c r="E17" s="1"/>
    </row>
    <row r="18" spans="1:5" x14ac:dyDescent="0.25">
      <c r="A18" s="1"/>
      <c r="B18" s="26" t="s">
        <v>138</v>
      </c>
      <c r="C18" s="52"/>
      <c r="D18" s="19"/>
      <c r="E18" s="1"/>
    </row>
    <row r="19" spans="1:5" x14ac:dyDescent="0.25">
      <c r="A19" s="1"/>
      <c r="B19" s="68" t="s">
        <v>139</v>
      </c>
      <c r="C19" s="10">
        <f>'Fane 8. Skattesagen'!G13</f>
        <v>0</v>
      </c>
      <c r="D19" s="11" t="s">
        <v>3</v>
      </c>
      <c r="E19" s="1"/>
    </row>
    <row r="20" spans="1:5" x14ac:dyDescent="0.25">
      <c r="A20" s="1"/>
      <c r="B20" s="51" t="s">
        <v>128</v>
      </c>
      <c r="C20" s="12">
        <f>SUM(C13,C15,C17,C19)</f>
        <v>21561426.339420423</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DWRSpuPd77FD6OvcezJe20f6GhN4Ep6ialqzyJHbd7VRCSr44dIPEtsnPLj2CyphbJHUuKKEmFvBaPwPvfNJIQ==" saltValue="Tlarr3WuRuXdjoqrQ+3LJ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63.28515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3" t="s">
        <v>200</v>
      </c>
      <c r="C3" s="93"/>
      <c r="D3" s="93"/>
      <c r="E3" s="1"/>
    </row>
    <row r="4" spans="1:5" ht="15" customHeight="1" x14ac:dyDescent="0.25">
      <c r="A4" s="1"/>
      <c r="B4" s="93"/>
      <c r="C4" s="93"/>
      <c r="D4" s="93"/>
      <c r="E4" s="1"/>
    </row>
    <row r="5" spans="1:5" x14ac:dyDescent="0.25">
      <c r="A5" s="1"/>
      <c r="B5" s="94" t="s">
        <v>20</v>
      </c>
      <c r="C5" s="94"/>
      <c r="D5" s="94"/>
      <c r="E5" s="1"/>
    </row>
    <row r="6" spans="1:5" x14ac:dyDescent="0.25">
      <c r="A6" s="1"/>
      <c r="B6" s="1"/>
      <c r="C6" s="1"/>
      <c r="D6" s="1"/>
      <c r="E6" s="1"/>
    </row>
    <row r="7" spans="1:5" x14ac:dyDescent="0.25">
      <c r="A7" s="1"/>
      <c r="B7" s="51" t="s">
        <v>12</v>
      </c>
      <c r="C7" s="52"/>
      <c r="D7" s="19"/>
      <c r="E7" s="1"/>
    </row>
    <row r="8" spans="1:5" ht="15" customHeight="1" x14ac:dyDescent="0.25">
      <c r="A8" s="1"/>
      <c r="B8" s="54" t="s">
        <v>142</v>
      </c>
      <c r="C8" s="7">
        <f>'Fane 2.2. Økonomisk ramme 2025'!C13</f>
        <v>12125185.402776305</v>
      </c>
      <c r="D8" s="8" t="s">
        <v>3</v>
      </c>
      <c r="E8" s="1"/>
    </row>
    <row r="9" spans="1:5" ht="15" customHeight="1" x14ac:dyDescent="0.25">
      <c r="A9" s="1"/>
      <c r="B9" s="29" t="s">
        <v>17</v>
      </c>
      <c r="C9" s="9">
        <f>SUM(C8:C8)*'Fane 13. Nøgletal'!C16</f>
        <v>979714.98054432543</v>
      </c>
      <c r="D9" s="8" t="s">
        <v>3</v>
      </c>
      <c r="E9" s="1"/>
    </row>
    <row r="10" spans="1:5" ht="15" customHeight="1" x14ac:dyDescent="0.25">
      <c r="A10" s="1"/>
      <c r="B10" s="29" t="s">
        <v>9</v>
      </c>
      <c r="C10" s="9">
        <f>-SUM(C8:C9)*'Fane 5. Individuelt eff. krav'!G9</f>
        <v>-171894.80940782512</v>
      </c>
      <c r="D10" s="8" t="s">
        <v>3</v>
      </c>
      <c r="E10" s="1"/>
    </row>
    <row r="11" spans="1:5" ht="15" customHeight="1" x14ac:dyDescent="0.25">
      <c r="A11" s="1"/>
      <c r="B11" s="29" t="s">
        <v>22</v>
      </c>
      <c r="C11" s="9">
        <f>-'Fane 4.1. Gen. krav - drift'!G59</f>
        <v>-153832.15417489034</v>
      </c>
      <c r="D11" s="8" t="s">
        <v>3</v>
      </c>
      <c r="E11" s="1"/>
    </row>
    <row r="12" spans="1:5" ht="15" customHeight="1" x14ac:dyDescent="0.25">
      <c r="A12" s="1"/>
      <c r="B12" s="29" t="s">
        <v>23</v>
      </c>
      <c r="C12" s="28">
        <f>-'Fane 4.2. Gen. krav - anlæg'!G59</f>
        <v>0</v>
      </c>
      <c r="D12" s="8" t="s">
        <v>3</v>
      </c>
      <c r="E12" s="1"/>
    </row>
    <row r="13" spans="1:5" x14ac:dyDescent="0.25">
      <c r="A13" s="1"/>
      <c r="B13" s="32" t="s">
        <v>19</v>
      </c>
      <c r="C13" s="10">
        <f>SUM(C8:C12)</f>
        <v>12779173.419737915</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Nøgletal'!C16)^2</f>
        <v>10220358.242466487</v>
      </c>
      <c r="D15" s="11" t="s">
        <v>3</v>
      </c>
      <c r="E15" s="1"/>
    </row>
    <row r="16" spans="1:5" x14ac:dyDescent="0.25">
      <c r="A16" s="1"/>
      <c r="B16" s="51" t="s">
        <v>117</v>
      </c>
      <c r="C16" s="52"/>
      <c r="D16" s="19"/>
      <c r="E16" s="1"/>
    </row>
    <row r="17" spans="1:5" x14ac:dyDescent="0.25">
      <c r="A17" s="1"/>
      <c r="B17" s="53" t="s">
        <v>118</v>
      </c>
      <c r="C17" s="10">
        <f>'Fane 7. Kontrol af ØR2022'!E33</f>
        <v>-20049.073039902374</v>
      </c>
      <c r="D17" s="11" t="s">
        <v>3</v>
      </c>
      <c r="E17" s="1"/>
    </row>
    <row r="18" spans="1:5" ht="15" customHeight="1" x14ac:dyDescent="0.25">
      <c r="A18" s="1"/>
      <c r="B18" s="26" t="s">
        <v>138</v>
      </c>
      <c r="C18" s="52"/>
      <c r="D18" s="19"/>
      <c r="E18" s="1"/>
    </row>
    <row r="19" spans="1:5" ht="15" customHeight="1" x14ac:dyDescent="0.25">
      <c r="A19" s="1"/>
      <c r="B19" s="68" t="s">
        <v>139</v>
      </c>
      <c r="C19" s="10">
        <f>'Fane 8. Skattesagen'!G14</f>
        <v>0</v>
      </c>
      <c r="D19" s="11" t="s">
        <v>3</v>
      </c>
      <c r="E19" s="1"/>
    </row>
    <row r="20" spans="1:5" x14ac:dyDescent="0.25">
      <c r="A20" s="1"/>
      <c r="B20" s="51" t="s">
        <v>143</v>
      </c>
      <c r="C20" s="12">
        <f>SUM(C13,C15,C17,C19)</f>
        <v>22979482.589164495</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3hq+sxzJVBg3maaCAesM2YccyngFj18rgJgWqticF2HO8cYoO6fGi4ygw4GiwmtJKE0idCpMQj5FTyWaH+ltng==" saltValue="4xJLDR/ej9Ux36By5h+2y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heetViews>
  <sheetFormatPr defaultColWidth="9.140625" defaultRowHeight="15" x14ac:dyDescent="0.25"/>
  <cols>
    <col min="1" max="1" width="5.140625" style="2" customWidth="1"/>
    <col min="2" max="2" width="63.140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3" t="s">
        <v>204</v>
      </c>
      <c r="C3" s="93"/>
      <c r="D3" s="93"/>
      <c r="E3" s="1"/>
    </row>
    <row r="4" spans="1:5" ht="15" customHeight="1" x14ac:dyDescent="0.25">
      <c r="A4" s="1"/>
      <c r="B4" s="93"/>
      <c r="C4" s="93"/>
      <c r="D4" s="93"/>
      <c r="E4" s="1"/>
    </row>
    <row r="5" spans="1:5" x14ac:dyDescent="0.25">
      <c r="A5" s="1"/>
      <c r="B5" s="94" t="s">
        <v>20</v>
      </c>
      <c r="C5" s="94"/>
      <c r="D5" s="94"/>
      <c r="E5" s="1"/>
    </row>
    <row r="6" spans="1:5" x14ac:dyDescent="0.25">
      <c r="A6" s="1"/>
      <c r="B6" s="1"/>
      <c r="C6" s="1"/>
      <c r="D6" s="1"/>
      <c r="E6" s="1"/>
    </row>
    <row r="7" spans="1:5" x14ac:dyDescent="0.25">
      <c r="A7" s="1"/>
      <c r="B7" s="51" t="s">
        <v>12</v>
      </c>
      <c r="C7" s="52"/>
      <c r="D7" s="19"/>
      <c r="E7" s="1"/>
    </row>
    <row r="8" spans="1:5" ht="15" customHeight="1" x14ac:dyDescent="0.25">
      <c r="A8" s="1"/>
      <c r="B8" s="54" t="s">
        <v>203</v>
      </c>
      <c r="C8" s="7">
        <f>'Fane 2.3. Økonomisk ramme 2026'!C13</f>
        <v>12779173.419737915</v>
      </c>
      <c r="D8" s="8" t="s">
        <v>3</v>
      </c>
      <c r="E8" s="1"/>
    </row>
    <row r="9" spans="1:5" ht="15" customHeight="1" x14ac:dyDescent="0.25">
      <c r="A9" s="1"/>
      <c r="B9" s="29" t="s">
        <v>17</v>
      </c>
      <c r="C9" s="9">
        <f>SUM(C8:C8)*'Fane 13. Nøgletal'!C16</f>
        <v>1032557.2123148234</v>
      </c>
      <c r="D9" s="8" t="s">
        <v>3</v>
      </c>
      <c r="E9" s="1"/>
    </row>
    <row r="10" spans="1:5" ht="15" customHeight="1" x14ac:dyDescent="0.25">
      <c r="A10" s="1"/>
      <c r="B10" s="29" t="s">
        <v>9</v>
      </c>
      <c r="C10" s="9">
        <f>-SUM(C8:C9)*'Fane 5. Individuelt eff. krav'!G9</f>
        <v>-181166.18479684618</v>
      </c>
      <c r="D10" s="8" t="s">
        <v>3</v>
      </c>
      <c r="E10" s="1"/>
    </row>
    <row r="11" spans="1:5" ht="15" customHeight="1" x14ac:dyDescent="0.25">
      <c r="A11" s="1"/>
      <c r="B11" s="29" t="s">
        <v>22</v>
      </c>
      <c r="C11" s="9">
        <f>-'Fane 4.1. Gen. krav - drift'!G64</f>
        <v>-162936.55638757703</v>
      </c>
      <c r="D11" s="8" t="s">
        <v>3</v>
      </c>
      <c r="E11" s="1"/>
    </row>
    <row r="12" spans="1:5" ht="15" customHeight="1" x14ac:dyDescent="0.25">
      <c r="A12" s="1"/>
      <c r="B12" s="29" t="s">
        <v>23</v>
      </c>
      <c r="C12" s="9">
        <f>-'Fane 4.2. Gen. krav - anlæg'!G64</f>
        <v>0</v>
      </c>
      <c r="D12" s="8" t="s">
        <v>3</v>
      </c>
      <c r="E12" s="1"/>
    </row>
    <row r="13" spans="1:5" x14ac:dyDescent="0.25">
      <c r="A13" s="1"/>
      <c r="B13" s="32" t="s">
        <v>19</v>
      </c>
      <c r="C13" s="10">
        <f>SUM(C8:C12)</f>
        <v>13467627.890868315</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Nøgletal'!C16)^3</f>
        <v>11046163.18845778</v>
      </c>
      <c r="D15" s="11" t="s">
        <v>3</v>
      </c>
      <c r="E15" s="1"/>
    </row>
    <row r="16" spans="1:5" x14ac:dyDescent="0.25">
      <c r="A16" s="1"/>
      <c r="B16" s="51" t="s">
        <v>117</v>
      </c>
      <c r="C16" s="52"/>
      <c r="D16" s="19"/>
      <c r="E16" s="1"/>
    </row>
    <row r="17" spans="1:5" x14ac:dyDescent="0.25">
      <c r="A17" s="1"/>
      <c r="B17" s="53" t="s">
        <v>118</v>
      </c>
      <c r="C17" s="10">
        <v>0</v>
      </c>
      <c r="D17" s="11" t="s">
        <v>3</v>
      </c>
      <c r="E17" s="1"/>
    </row>
    <row r="18" spans="1:5" x14ac:dyDescent="0.25">
      <c r="A18" s="1"/>
      <c r="B18" s="26" t="s">
        <v>138</v>
      </c>
      <c r="C18" s="52"/>
      <c r="D18" s="19"/>
      <c r="E18" s="1"/>
    </row>
    <row r="19" spans="1:5" x14ac:dyDescent="0.25">
      <c r="A19" s="1"/>
      <c r="B19" s="68" t="s">
        <v>139</v>
      </c>
      <c r="C19" s="10">
        <f>'Fane 8. Skattesagen'!G15</f>
        <v>0</v>
      </c>
      <c r="D19" s="11" t="s">
        <v>3</v>
      </c>
      <c r="E19" s="1"/>
    </row>
    <row r="20" spans="1:5" x14ac:dyDescent="0.25">
      <c r="A20" s="1"/>
      <c r="B20" s="51" t="s">
        <v>205</v>
      </c>
      <c r="C20" s="12">
        <f>SUM(C13,C15,C17,C19)</f>
        <v>24513791.079326093</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J5yjQGlBRI+ZizPG8mH5cHCCG5RhpeIkbfakNGcTmClqzm2rbfbDOAZvxoLNP7S8E9iUwf+VjrN+kNTUbkQABg==" saltValue="99tMXLZaZ82kRWcHhFDJ/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5"/>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96" t="s">
        <v>201</v>
      </c>
      <c r="C3" s="96"/>
      <c r="D3" s="96"/>
      <c r="E3" s="1"/>
    </row>
    <row r="4" spans="1:5" x14ac:dyDescent="0.25">
      <c r="A4" s="1"/>
      <c r="B4" s="96"/>
      <c r="C4" s="96"/>
      <c r="D4" s="96"/>
      <c r="E4" s="1"/>
    </row>
    <row r="5" spans="1:5" x14ac:dyDescent="0.25">
      <c r="A5" s="1"/>
      <c r="B5" s="1"/>
      <c r="C5" s="1"/>
      <c r="D5" s="1"/>
      <c r="E5" s="1"/>
    </row>
    <row r="6" spans="1:5" x14ac:dyDescent="0.25">
      <c r="A6" s="1"/>
      <c r="B6" s="1"/>
      <c r="C6" s="1"/>
      <c r="D6" s="1"/>
      <c r="E6" s="1"/>
    </row>
    <row r="7" spans="1:5" x14ac:dyDescent="0.25">
      <c r="A7" s="1"/>
      <c r="B7" s="51" t="s">
        <v>202</v>
      </c>
      <c r="C7" s="52"/>
      <c r="D7" s="19"/>
      <c r="E7" s="1"/>
    </row>
    <row r="8" spans="1:5" x14ac:dyDescent="0.25">
      <c r="A8" s="1"/>
      <c r="B8" s="54" t="s">
        <v>108</v>
      </c>
      <c r="C8" s="7">
        <v>11169767.936665881</v>
      </c>
      <c r="D8" s="8" t="s">
        <v>3</v>
      </c>
      <c r="E8" s="1"/>
    </row>
    <row r="9" spans="1:5" x14ac:dyDescent="0.25">
      <c r="A9" s="1"/>
      <c r="B9" s="24" t="s">
        <v>33</v>
      </c>
      <c r="C9" s="7">
        <v>64320.080400000006</v>
      </c>
      <c r="D9" s="8" t="s">
        <v>3</v>
      </c>
      <c r="E9" s="1"/>
    </row>
    <row r="10" spans="1:5" x14ac:dyDescent="0.25">
      <c r="A10" s="1"/>
      <c r="B10" s="24" t="s">
        <v>34</v>
      </c>
      <c r="C10" s="9">
        <v>0</v>
      </c>
      <c r="D10" s="8" t="s">
        <v>3</v>
      </c>
      <c r="E10" s="1"/>
    </row>
    <row r="11" spans="1:5" x14ac:dyDescent="0.25">
      <c r="A11" s="1"/>
      <c r="B11" s="24" t="s">
        <v>25</v>
      </c>
      <c r="C11" s="9">
        <v>0</v>
      </c>
      <c r="D11" s="8" t="s">
        <v>3</v>
      </c>
      <c r="E11" s="1"/>
    </row>
    <row r="12" spans="1:5" x14ac:dyDescent="0.25">
      <c r="A12" s="1"/>
      <c r="B12" s="24" t="s">
        <v>24</v>
      </c>
      <c r="C12" s="9">
        <v>0</v>
      </c>
      <c r="D12" s="8" t="s">
        <v>3</v>
      </c>
      <c r="E12" s="1"/>
    </row>
    <row r="13" spans="1:5" x14ac:dyDescent="0.25">
      <c r="A13" s="1"/>
      <c r="B13" s="24" t="s">
        <v>106</v>
      </c>
      <c r="C13" s="9">
        <v>0</v>
      </c>
      <c r="D13" s="8" t="s">
        <v>3</v>
      </c>
      <c r="E13" s="1"/>
    </row>
    <row r="14" spans="1:5" x14ac:dyDescent="0.25">
      <c r="A14" s="1"/>
      <c r="B14" s="24" t="s">
        <v>107</v>
      </c>
      <c r="C14" s="9">
        <v>0</v>
      </c>
      <c r="D14" s="8" t="s">
        <v>3</v>
      </c>
      <c r="E14" s="1"/>
    </row>
    <row r="15" spans="1:5" x14ac:dyDescent="0.25">
      <c r="A15" s="1"/>
      <c r="B15" s="24" t="s">
        <v>17</v>
      </c>
      <c r="C15" s="9">
        <v>399933.53340754536</v>
      </c>
      <c r="D15" s="8" t="s">
        <v>3</v>
      </c>
      <c r="E15" s="1"/>
    </row>
    <row r="16" spans="1:5" x14ac:dyDescent="0.25">
      <c r="A16" s="1"/>
      <c r="B16" s="24" t="s">
        <v>9</v>
      </c>
      <c r="C16" s="9">
        <v>-152601.53519445728</v>
      </c>
      <c r="D16" s="8" t="s">
        <v>3</v>
      </c>
      <c r="E16" s="1"/>
    </row>
    <row r="17" spans="1:5" x14ac:dyDescent="0.25">
      <c r="A17" s="1"/>
      <c r="B17" s="24" t="s">
        <v>22</v>
      </c>
      <c r="C17" s="9">
        <v>-134229.05906745771</v>
      </c>
      <c r="D17" s="8" t="s">
        <v>3</v>
      </c>
      <c r="E17" s="1"/>
    </row>
    <row r="18" spans="1:5" x14ac:dyDescent="0.25">
      <c r="A18" s="1"/>
      <c r="B18" s="24" t="s">
        <v>23</v>
      </c>
      <c r="C18" s="9">
        <v>0</v>
      </c>
      <c r="D18" s="8" t="s">
        <v>3</v>
      </c>
      <c r="E18" s="1"/>
    </row>
    <row r="19" spans="1:5" x14ac:dyDescent="0.25">
      <c r="A19" s="1"/>
      <c r="B19" s="69" t="s">
        <v>19</v>
      </c>
      <c r="C19" s="10">
        <v>11347190.956211511</v>
      </c>
      <c r="D19" s="11" t="s">
        <v>3</v>
      </c>
      <c r="E19" s="1"/>
    </row>
    <row r="20" spans="1:5" x14ac:dyDescent="0.25">
      <c r="A20" s="1"/>
      <c r="B20" s="51" t="s">
        <v>11</v>
      </c>
      <c r="C20" s="52"/>
      <c r="D20" s="19"/>
      <c r="E20" s="1"/>
    </row>
    <row r="21" spans="1:5" x14ac:dyDescent="0.25">
      <c r="A21" s="1"/>
      <c r="B21" s="53" t="s">
        <v>11</v>
      </c>
      <c r="C21" s="10">
        <v>7833599.7433660803</v>
      </c>
      <c r="D21" s="11" t="s">
        <v>3</v>
      </c>
      <c r="E21" s="1"/>
    </row>
    <row r="22" spans="1:5" x14ac:dyDescent="0.25">
      <c r="A22" s="1"/>
      <c r="B22" s="51" t="s">
        <v>75</v>
      </c>
      <c r="C22" s="52"/>
      <c r="D22" s="19"/>
      <c r="E22" s="1"/>
    </row>
    <row r="23" spans="1:5" x14ac:dyDescent="0.25">
      <c r="A23" s="1"/>
      <c r="B23" s="24" t="s">
        <v>71</v>
      </c>
      <c r="C23" s="9">
        <v>0</v>
      </c>
      <c r="D23" s="8" t="s">
        <v>3</v>
      </c>
      <c r="E23" s="1"/>
    </row>
    <row r="24" spans="1:5" x14ac:dyDescent="0.25">
      <c r="A24" s="1"/>
      <c r="B24" s="24" t="s">
        <v>72</v>
      </c>
      <c r="C24" s="9">
        <v>0</v>
      </c>
      <c r="D24" s="8" t="s">
        <v>3</v>
      </c>
      <c r="E24" s="1"/>
    </row>
    <row r="25" spans="1:5" x14ac:dyDescent="0.25">
      <c r="A25" s="1"/>
      <c r="B25" s="24" t="s">
        <v>164</v>
      </c>
      <c r="C25" s="9">
        <v>0</v>
      </c>
      <c r="D25" s="8" t="s">
        <v>3</v>
      </c>
      <c r="E25" s="1"/>
    </row>
    <row r="26" spans="1:5" x14ac:dyDescent="0.25">
      <c r="A26" s="1"/>
      <c r="B26" s="24" t="s">
        <v>165</v>
      </c>
      <c r="C26" s="9">
        <v>0</v>
      </c>
      <c r="D26" s="8" t="s">
        <v>3</v>
      </c>
      <c r="E26" s="1"/>
    </row>
    <row r="27" spans="1:5" x14ac:dyDescent="0.25">
      <c r="A27" s="1"/>
      <c r="B27" s="69" t="s">
        <v>76</v>
      </c>
      <c r="C27" s="56">
        <v>0</v>
      </c>
      <c r="D27" s="11" t="s">
        <v>3</v>
      </c>
      <c r="E27" s="1"/>
    </row>
    <row r="28" spans="1:5" x14ac:dyDescent="0.25">
      <c r="A28" s="1"/>
      <c r="B28" s="26" t="s">
        <v>117</v>
      </c>
      <c r="C28" s="52"/>
      <c r="D28" s="19"/>
      <c r="E28" s="1"/>
    </row>
    <row r="29" spans="1:5" x14ac:dyDescent="0.25">
      <c r="A29" s="1"/>
      <c r="B29" s="68" t="s">
        <v>118</v>
      </c>
      <c r="C29" s="10">
        <v>0</v>
      </c>
      <c r="D29" s="11" t="s">
        <v>3</v>
      </c>
      <c r="E29" s="1"/>
    </row>
    <row r="30" spans="1:5" x14ac:dyDescent="0.25">
      <c r="A30" s="1"/>
      <c r="B30" s="26" t="s">
        <v>138</v>
      </c>
      <c r="C30" s="52"/>
      <c r="D30" s="19"/>
      <c r="E30" s="1"/>
    </row>
    <row r="31" spans="1:5" x14ac:dyDescent="0.25">
      <c r="A31" s="1"/>
      <c r="B31" s="68" t="s">
        <v>139</v>
      </c>
      <c r="C31" s="10">
        <v>0</v>
      </c>
      <c r="D31" s="11" t="s">
        <v>3</v>
      </c>
      <c r="E31" s="1"/>
    </row>
    <row r="32" spans="1:5" x14ac:dyDescent="0.25">
      <c r="A32" s="1"/>
      <c r="B32" s="51" t="s">
        <v>239</v>
      </c>
      <c r="C32" s="33">
        <v>19180790.699577592</v>
      </c>
      <c r="D32" s="19" t="s">
        <v>3</v>
      </c>
      <c r="E32" s="1"/>
    </row>
    <row r="33" spans="1:5" ht="30" customHeight="1" x14ac:dyDescent="0.25">
      <c r="A33" s="1"/>
      <c r="B33" s="95" t="s">
        <v>240</v>
      </c>
      <c r="C33" s="95"/>
      <c r="D33" s="95"/>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U00K191YWwWmSfNJubl0/Iveu0BX1epcQsz2h41GzXpvkqPkog8BzBU+SXpEJQTxbZ4meH4970bnhXOJKj76ng==" saltValue="esNSIHFUb049cy2dewHm6Q==" spinCount="100000" sheet="1" objects="1" scenarios="1"/>
  <mergeCells count="2">
    <mergeCell ref="B33:D33"/>
    <mergeCell ref="B3:D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100"/>
  <sheetViews>
    <sheetView showGridLines="0" view="pageLayout" zoomScaleNormal="100" workbookViewId="0"/>
  </sheetViews>
  <sheetFormatPr defaultColWidth="9.140625" defaultRowHeight="15" x14ac:dyDescent="0.25"/>
  <cols>
    <col min="1" max="1" width="5.28515625" style="2" customWidth="1"/>
    <col min="2" max="5" width="9.140625" style="2"/>
    <col min="6" max="6" width="20.140625" style="2" customWidth="1"/>
    <col min="7" max="7" width="13.42578125" style="37" customWidth="1"/>
    <col min="8" max="8" width="3.7109375" style="2" customWidth="1"/>
    <col min="9" max="9" width="5.28515625" style="2" customWidth="1"/>
    <col min="10" max="16384" width="9.140625" style="2"/>
  </cols>
  <sheetData>
    <row r="1" spans="1:9" ht="15" customHeight="1" x14ac:dyDescent="0.25">
      <c r="A1" s="1"/>
      <c r="B1" s="96" t="s">
        <v>90</v>
      </c>
      <c r="C1" s="96"/>
      <c r="D1" s="96"/>
      <c r="E1" s="96"/>
      <c r="F1" s="96"/>
      <c r="G1" s="96"/>
      <c r="H1" s="96"/>
      <c r="I1" s="1"/>
    </row>
    <row r="2" spans="1:9" ht="15" customHeight="1" x14ac:dyDescent="0.25">
      <c r="A2" s="1"/>
      <c r="B2" s="96"/>
      <c r="C2" s="96"/>
      <c r="D2" s="96"/>
      <c r="E2" s="96"/>
      <c r="F2" s="96"/>
      <c r="G2" s="96"/>
      <c r="H2" s="96"/>
      <c r="I2" s="1"/>
    </row>
    <row r="3" spans="1:9" ht="15" customHeight="1" x14ac:dyDescent="0.25">
      <c r="A3" s="1"/>
      <c r="B3" s="96"/>
      <c r="C3" s="96"/>
      <c r="D3" s="96"/>
      <c r="E3" s="96"/>
      <c r="F3" s="96"/>
      <c r="G3" s="96"/>
      <c r="H3" s="96"/>
      <c r="I3" s="1"/>
    </row>
    <row r="4" spans="1:9" x14ac:dyDescent="0.25">
      <c r="A4" s="1"/>
      <c r="B4" s="103" t="s">
        <v>44</v>
      </c>
      <c r="C4" s="104"/>
      <c r="D4" s="104"/>
      <c r="E4" s="104"/>
      <c r="F4" s="104"/>
      <c r="G4" s="104"/>
      <c r="H4" s="105"/>
      <c r="I4" s="1"/>
    </row>
    <row r="5" spans="1:9" x14ac:dyDescent="0.25">
      <c r="A5" s="1"/>
      <c r="B5" s="97" t="s">
        <v>36</v>
      </c>
      <c r="C5" s="98"/>
      <c r="D5" s="98"/>
      <c r="E5" s="98"/>
      <c r="F5" s="99"/>
      <c r="G5" s="47">
        <v>6599195.1069640052</v>
      </c>
      <c r="H5" s="14" t="s">
        <v>3</v>
      </c>
      <c r="I5" s="1"/>
    </row>
    <row r="6" spans="1:9" x14ac:dyDescent="0.25">
      <c r="A6" s="1"/>
      <c r="B6" s="97" t="s">
        <v>37</v>
      </c>
      <c r="C6" s="98"/>
      <c r="D6" s="98"/>
      <c r="E6" s="98"/>
      <c r="F6" s="99"/>
      <c r="G6" s="22">
        <f>G5*'Fane 13. Nøgletal'!C33</f>
        <v>131983.90213928011</v>
      </c>
      <c r="H6" s="14" t="s">
        <v>3</v>
      </c>
      <c r="I6" s="1"/>
    </row>
    <row r="7" spans="1:9" x14ac:dyDescent="0.25">
      <c r="A7" s="1"/>
      <c r="B7" s="51"/>
      <c r="C7" s="52"/>
      <c r="D7" s="52"/>
      <c r="E7" s="52"/>
      <c r="F7" s="52"/>
      <c r="G7" s="35"/>
      <c r="H7" s="19"/>
      <c r="I7" s="1"/>
    </row>
    <row r="8" spans="1:9" x14ac:dyDescent="0.25">
      <c r="A8" s="1"/>
      <c r="B8" s="1"/>
      <c r="C8" s="1"/>
      <c r="D8" s="1"/>
      <c r="E8" s="1"/>
      <c r="F8" s="1"/>
      <c r="G8" s="36"/>
      <c r="H8" s="1"/>
      <c r="I8" s="1"/>
    </row>
    <row r="9" spans="1:9" x14ac:dyDescent="0.25">
      <c r="A9" s="1"/>
      <c r="B9" s="103" t="s">
        <v>45</v>
      </c>
      <c r="C9" s="104"/>
      <c r="D9" s="104"/>
      <c r="E9" s="104"/>
      <c r="F9" s="104"/>
      <c r="G9" s="104"/>
      <c r="H9" s="105"/>
      <c r="I9" s="1"/>
    </row>
    <row r="10" spans="1:9" x14ac:dyDescent="0.25">
      <c r="A10" s="1"/>
      <c r="B10" s="97" t="s">
        <v>38</v>
      </c>
      <c r="C10" s="98"/>
      <c r="D10" s="98"/>
      <c r="E10" s="98"/>
      <c r="F10" s="99"/>
      <c r="G10" s="22">
        <f>(G5-G6)*(1+'Fane 13. Nøgletal'!C9)</f>
        <v>6549344.7871259991</v>
      </c>
      <c r="H10" s="14" t="s">
        <v>3</v>
      </c>
      <c r="I10" s="1"/>
    </row>
    <row r="11" spans="1:9" x14ac:dyDescent="0.25">
      <c r="A11" s="1"/>
      <c r="B11" s="100" t="s">
        <v>228</v>
      </c>
      <c r="C11" s="101"/>
      <c r="D11" s="101"/>
      <c r="E11" s="101"/>
      <c r="F11" s="102"/>
      <c r="G11" s="47">
        <v>0</v>
      </c>
      <c r="H11" s="14" t="s">
        <v>3</v>
      </c>
      <c r="I11" s="1"/>
    </row>
    <row r="12" spans="1:9" x14ac:dyDescent="0.25">
      <c r="A12" s="1"/>
      <c r="B12" s="97" t="s">
        <v>39</v>
      </c>
      <c r="C12" s="98"/>
      <c r="D12" s="98"/>
      <c r="E12" s="98"/>
      <c r="F12" s="99"/>
      <c r="G12" s="22">
        <f>(G10+G11)*'Fane 13. Nøgletal'!C33</f>
        <v>130986.89574251999</v>
      </c>
      <c r="H12" s="14" t="s">
        <v>3</v>
      </c>
      <c r="I12" s="1"/>
    </row>
    <row r="13" spans="1:9" x14ac:dyDescent="0.25">
      <c r="A13" s="1"/>
      <c r="B13" s="51"/>
      <c r="C13" s="52"/>
      <c r="D13" s="52"/>
      <c r="E13" s="52"/>
      <c r="F13" s="52"/>
      <c r="G13" s="35"/>
      <c r="H13" s="19"/>
      <c r="I13" s="1"/>
    </row>
    <row r="14" spans="1:9" x14ac:dyDescent="0.25">
      <c r="A14" s="1"/>
      <c r="B14" s="1"/>
      <c r="C14" s="1"/>
      <c r="D14" s="1"/>
      <c r="E14" s="1"/>
      <c r="F14" s="1"/>
      <c r="G14" s="36"/>
      <c r="H14" s="1"/>
      <c r="I14" s="1"/>
    </row>
    <row r="15" spans="1:9" x14ac:dyDescent="0.25">
      <c r="A15" s="1"/>
      <c r="B15" s="103" t="s">
        <v>46</v>
      </c>
      <c r="C15" s="104"/>
      <c r="D15" s="104"/>
      <c r="E15" s="104"/>
      <c r="F15" s="104"/>
      <c r="G15" s="104"/>
      <c r="H15" s="105"/>
      <c r="I15" s="1"/>
    </row>
    <row r="16" spans="1:9" x14ac:dyDescent="0.25">
      <c r="A16" s="1"/>
      <c r="B16" s="97" t="s">
        <v>40</v>
      </c>
      <c r="C16" s="98"/>
      <c r="D16" s="98"/>
      <c r="E16" s="98"/>
      <c r="F16" s="99"/>
      <c r="G16" s="22">
        <f>(G10+G11-G12)*(1+'Fane 13. Nøgletal'!C11)</f>
        <v>6526828.1397478599</v>
      </c>
      <c r="H16" s="14" t="s">
        <v>3</v>
      </c>
      <c r="I16" s="1"/>
    </row>
    <row r="17" spans="1:9" x14ac:dyDescent="0.25">
      <c r="A17" s="1"/>
      <c r="B17" s="97" t="s">
        <v>100</v>
      </c>
      <c r="C17" s="98"/>
      <c r="D17" s="98"/>
      <c r="E17" s="98"/>
      <c r="F17" s="99"/>
      <c r="G17" s="47">
        <v>-251153.36497625089</v>
      </c>
      <c r="H17" s="14" t="s">
        <v>3</v>
      </c>
      <c r="I17" s="1"/>
    </row>
    <row r="18" spans="1:9" x14ac:dyDescent="0.25">
      <c r="A18" s="1"/>
      <c r="B18" s="100" t="s">
        <v>229</v>
      </c>
      <c r="C18" s="101"/>
      <c r="D18" s="101"/>
      <c r="E18" s="101"/>
      <c r="F18" s="102"/>
      <c r="G18" s="47">
        <v>0</v>
      </c>
      <c r="H18" s="14" t="s">
        <v>3</v>
      </c>
      <c r="I18" s="1"/>
    </row>
    <row r="19" spans="1:9" x14ac:dyDescent="0.25">
      <c r="A19" s="1"/>
      <c r="B19" s="97" t="s">
        <v>41</v>
      </c>
      <c r="C19" s="98"/>
      <c r="D19" s="98"/>
      <c r="E19" s="98"/>
      <c r="F19" s="99"/>
      <c r="G19" s="22">
        <f>SUM(G16:G18)*'Fane 13. Nøgletal'!C33</f>
        <v>125513.49549543219</v>
      </c>
      <c r="H19" s="14" t="s">
        <v>3</v>
      </c>
      <c r="I19" s="1"/>
    </row>
    <row r="20" spans="1:9" x14ac:dyDescent="0.25">
      <c r="A20" s="1"/>
      <c r="B20" s="51"/>
      <c r="C20" s="52"/>
      <c r="D20" s="52"/>
      <c r="E20" s="52"/>
      <c r="F20" s="52"/>
      <c r="G20" s="35"/>
      <c r="H20" s="19"/>
      <c r="I20" s="1"/>
    </row>
    <row r="21" spans="1:9" x14ac:dyDescent="0.25">
      <c r="A21" s="1"/>
      <c r="B21" s="1"/>
      <c r="C21" s="1"/>
      <c r="D21" s="1"/>
      <c r="E21" s="1"/>
      <c r="F21" s="1"/>
      <c r="G21" s="36"/>
      <c r="H21" s="1"/>
      <c r="I21" s="1"/>
    </row>
    <row r="22" spans="1:9" x14ac:dyDescent="0.25">
      <c r="A22" s="1"/>
      <c r="B22" s="103" t="s">
        <v>47</v>
      </c>
      <c r="C22" s="104"/>
      <c r="D22" s="104"/>
      <c r="E22" s="104"/>
      <c r="F22" s="104"/>
      <c r="G22" s="104"/>
      <c r="H22" s="105"/>
      <c r="I22" s="1"/>
    </row>
    <row r="23" spans="1:9" x14ac:dyDescent="0.25">
      <c r="A23" s="1"/>
      <c r="B23" s="97" t="s">
        <v>42</v>
      </c>
      <c r="C23" s="98"/>
      <c r="D23" s="98"/>
      <c r="E23" s="98"/>
      <c r="F23" s="99"/>
      <c r="G23" s="22">
        <f>(SUM(G16:G18)-G19)*(1+'Fane 13. Nøgletal'!C11)</f>
        <v>6254099.0048959441</v>
      </c>
      <c r="H23" s="14" t="s">
        <v>3</v>
      </c>
      <c r="I23" s="1"/>
    </row>
    <row r="24" spans="1:9" x14ac:dyDescent="0.25">
      <c r="A24" s="1"/>
      <c r="B24" s="100" t="s">
        <v>230</v>
      </c>
      <c r="C24" s="101"/>
      <c r="D24" s="101"/>
      <c r="E24" s="101"/>
      <c r="F24" s="102"/>
      <c r="G24" s="47">
        <v>0</v>
      </c>
      <c r="H24" s="14" t="s">
        <v>3</v>
      </c>
      <c r="I24" s="1"/>
    </row>
    <row r="25" spans="1:9" x14ac:dyDescent="0.25">
      <c r="A25" s="1"/>
      <c r="B25" s="97" t="s">
        <v>43</v>
      </c>
      <c r="C25" s="98"/>
      <c r="D25" s="98"/>
      <c r="E25" s="98"/>
      <c r="F25" s="99"/>
      <c r="G25" s="22">
        <f>(G23+G24)*'Fane 13. Nøgletal'!C33</f>
        <v>125081.98009791889</v>
      </c>
      <c r="H25" s="14" t="s">
        <v>3</v>
      </c>
      <c r="I25" s="1"/>
    </row>
    <row r="26" spans="1:9" x14ac:dyDescent="0.25">
      <c r="A26" s="1"/>
      <c r="B26" s="51"/>
      <c r="C26" s="52"/>
      <c r="D26" s="52"/>
      <c r="E26" s="52"/>
      <c r="F26" s="52"/>
      <c r="G26" s="35"/>
      <c r="H26" s="19"/>
      <c r="I26" s="1"/>
    </row>
    <row r="27" spans="1:9" x14ac:dyDescent="0.25">
      <c r="A27" s="1"/>
      <c r="B27" s="1"/>
      <c r="C27" s="1"/>
      <c r="D27" s="1"/>
      <c r="E27" s="1"/>
      <c r="F27" s="1"/>
      <c r="G27" s="36"/>
      <c r="H27" s="1"/>
      <c r="I27" s="1"/>
    </row>
    <row r="28" spans="1:9" x14ac:dyDescent="0.25">
      <c r="A28" s="1"/>
      <c r="B28" s="103" t="s">
        <v>121</v>
      </c>
      <c r="C28" s="104"/>
      <c r="D28" s="104"/>
      <c r="E28" s="104"/>
      <c r="F28" s="104"/>
      <c r="G28" s="104"/>
      <c r="H28" s="105"/>
      <c r="I28" s="1"/>
    </row>
    <row r="29" spans="1:9" x14ac:dyDescent="0.25">
      <c r="A29" s="1"/>
      <c r="B29" s="97" t="s">
        <v>50</v>
      </c>
      <c r="C29" s="98"/>
      <c r="D29" s="98"/>
      <c r="E29" s="98"/>
      <c r="F29" s="99"/>
      <c r="G29" s="22">
        <f>(G23+G24-G25)*(1+'Fane 13. Nøgletal'!C13)</f>
        <v>6203791.0325005613</v>
      </c>
      <c r="H29" s="14" t="s">
        <v>3</v>
      </c>
      <c r="I29" s="1"/>
    </row>
    <row r="30" spans="1:9" x14ac:dyDescent="0.25">
      <c r="A30" s="1"/>
      <c r="B30" s="97" t="s">
        <v>231</v>
      </c>
      <c r="C30" s="98"/>
      <c r="D30" s="98"/>
      <c r="E30" s="98"/>
      <c r="F30" s="99"/>
      <c r="G30" s="47">
        <v>0</v>
      </c>
      <c r="H30" s="14" t="s">
        <v>3</v>
      </c>
      <c r="I30" s="1"/>
    </row>
    <row r="31" spans="1:9" x14ac:dyDescent="0.25">
      <c r="A31" s="1"/>
      <c r="B31" s="97" t="s">
        <v>115</v>
      </c>
      <c r="C31" s="98"/>
      <c r="D31" s="98"/>
      <c r="E31" s="98"/>
      <c r="F31" s="99"/>
      <c r="G31" s="22">
        <f>(G29+G30)*'Fane 13. Nøgletal'!C33</f>
        <v>124075.82065001123</v>
      </c>
      <c r="H31" s="14" t="s">
        <v>3</v>
      </c>
      <c r="I31" s="1"/>
    </row>
    <row r="32" spans="1:9" x14ac:dyDescent="0.25">
      <c r="A32" s="1"/>
      <c r="B32" s="51"/>
      <c r="C32" s="52"/>
      <c r="D32" s="52"/>
      <c r="E32" s="52"/>
      <c r="F32" s="52"/>
      <c r="G32" s="35"/>
      <c r="H32" s="19"/>
      <c r="I32" s="1"/>
    </row>
    <row r="33" spans="1:9" x14ac:dyDescent="0.25">
      <c r="A33" s="1"/>
      <c r="B33" s="1"/>
      <c r="C33" s="1"/>
      <c r="D33" s="1"/>
      <c r="E33" s="1"/>
      <c r="F33" s="1"/>
      <c r="G33" s="36"/>
      <c r="H33" s="1"/>
      <c r="I33" s="1"/>
    </row>
    <row r="34" spans="1:9" x14ac:dyDescent="0.25">
      <c r="A34" s="1"/>
      <c r="B34" s="103" t="s">
        <v>122</v>
      </c>
      <c r="C34" s="104"/>
      <c r="D34" s="104"/>
      <c r="E34" s="104"/>
      <c r="F34" s="104"/>
      <c r="G34" s="104"/>
      <c r="H34" s="105"/>
      <c r="I34" s="1"/>
    </row>
    <row r="35" spans="1:9" x14ac:dyDescent="0.25">
      <c r="A35" s="1"/>
      <c r="B35" s="97" t="s">
        <v>69</v>
      </c>
      <c r="C35" s="98"/>
      <c r="D35" s="98"/>
      <c r="E35" s="98"/>
      <c r="F35" s="99"/>
      <c r="G35" s="22">
        <f>(G29+G30-G31)*(1+'Fane 13. Nøgletal'!C13)</f>
        <v>6153887.7374351267</v>
      </c>
      <c r="H35" s="14" t="s">
        <v>3</v>
      </c>
      <c r="I35" s="1"/>
    </row>
    <row r="36" spans="1:9" x14ac:dyDescent="0.25">
      <c r="A36" s="1"/>
      <c r="B36" s="97" t="s">
        <v>232</v>
      </c>
      <c r="C36" s="98"/>
      <c r="D36" s="98"/>
      <c r="E36" s="98"/>
      <c r="F36" s="99"/>
      <c r="G36" s="47">
        <v>393478.15723566007</v>
      </c>
      <c r="H36" s="14" t="s">
        <v>3</v>
      </c>
      <c r="I36" s="1"/>
    </row>
    <row r="37" spans="1:9" x14ac:dyDescent="0.25">
      <c r="A37" s="1"/>
      <c r="B37" s="97" t="s">
        <v>123</v>
      </c>
      <c r="C37" s="98"/>
      <c r="D37" s="98"/>
      <c r="E37" s="98"/>
      <c r="F37" s="99"/>
      <c r="G37" s="22">
        <f>(G35+G36)*'Fane 13. Nøgletal'!C33</f>
        <v>130947.31789341573</v>
      </c>
      <c r="H37" s="14" t="s">
        <v>3</v>
      </c>
      <c r="I37" s="1"/>
    </row>
    <row r="38" spans="1:9" x14ac:dyDescent="0.25">
      <c r="A38" s="1"/>
      <c r="B38" s="51"/>
      <c r="C38" s="52"/>
      <c r="D38" s="52"/>
      <c r="E38" s="52"/>
      <c r="F38" s="52"/>
      <c r="G38" s="35"/>
      <c r="H38" s="19"/>
      <c r="I38" s="1"/>
    </row>
    <row r="39" spans="1:9" x14ac:dyDescent="0.25">
      <c r="A39" s="1"/>
      <c r="B39" s="1"/>
      <c r="C39" s="1"/>
      <c r="D39" s="1"/>
      <c r="E39" s="1"/>
      <c r="F39" s="1"/>
      <c r="G39" s="36"/>
      <c r="H39" s="1"/>
      <c r="I39" s="1"/>
    </row>
    <row r="40" spans="1:9" x14ac:dyDescent="0.25">
      <c r="A40" s="1"/>
      <c r="B40" s="103" t="s">
        <v>157</v>
      </c>
      <c r="C40" s="104"/>
      <c r="D40" s="104"/>
      <c r="E40" s="104"/>
      <c r="F40" s="104"/>
      <c r="G40" s="104"/>
      <c r="H40" s="105"/>
      <c r="I40" s="1"/>
    </row>
    <row r="41" spans="1:9" x14ac:dyDescent="0.25">
      <c r="A41" s="1"/>
      <c r="B41" s="97" t="s">
        <v>68</v>
      </c>
      <c r="C41" s="98"/>
      <c r="D41" s="98"/>
      <c r="E41" s="98"/>
      <c r="F41" s="99"/>
      <c r="G41" s="22">
        <f>(G35+G36-G37)*(1+'Fane 13. Nøgletal'!C15)</f>
        <v>6644843.0781106455</v>
      </c>
      <c r="H41" s="14" t="s">
        <v>3</v>
      </c>
      <c r="I41" s="1"/>
    </row>
    <row r="42" spans="1:9" x14ac:dyDescent="0.25">
      <c r="A42" s="1"/>
      <c r="B42" s="97" t="s">
        <v>156</v>
      </c>
      <c r="C42" s="98"/>
      <c r="D42" s="98"/>
      <c r="E42" s="98"/>
      <c r="F42" s="99"/>
      <c r="G42" s="22">
        <v>66609.875262240006</v>
      </c>
      <c r="H42" s="14" t="s">
        <v>3</v>
      </c>
      <c r="I42" s="1"/>
    </row>
    <row r="43" spans="1:9" x14ac:dyDescent="0.25">
      <c r="A43" s="1"/>
      <c r="B43" s="97" t="s">
        <v>166</v>
      </c>
      <c r="C43" s="98"/>
      <c r="D43" s="98"/>
      <c r="E43" s="98"/>
      <c r="F43" s="99"/>
      <c r="G43" s="22">
        <f>(G41+G42)*'Fane 13. Nøgletal'!C33</f>
        <v>134229.05906745771</v>
      </c>
      <c r="H43" s="14" t="s">
        <v>3</v>
      </c>
      <c r="I43" s="1"/>
    </row>
    <row r="44" spans="1:9" x14ac:dyDescent="0.25">
      <c r="A44" s="1"/>
      <c r="B44" s="51"/>
      <c r="C44" s="52"/>
      <c r="D44" s="52"/>
      <c r="E44" s="52"/>
      <c r="F44" s="52"/>
      <c r="G44" s="35"/>
      <c r="H44" s="19"/>
      <c r="I44" s="1"/>
    </row>
    <row r="45" spans="1:9" x14ac:dyDescent="0.25">
      <c r="A45" s="1"/>
      <c r="B45" s="1"/>
      <c r="C45" s="1"/>
      <c r="D45" s="1"/>
      <c r="E45" s="1"/>
      <c r="F45" s="1"/>
      <c r="G45" s="36"/>
      <c r="H45" s="1"/>
      <c r="I45" s="1"/>
    </row>
    <row r="46" spans="1:9" x14ac:dyDescent="0.25">
      <c r="A46" s="1"/>
      <c r="B46" s="103" t="s">
        <v>158</v>
      </c>
      <c r="C46" s="104"/>
      <c r="D46" s="104"/>
      <c r="E46" s="104"/>
      <c r="F46" s="104"/>
      <c r="G46" s="104"/>
      <c r="H46" s="105"/>
      <c r="I46" s="1"/>
    </row>
    <row r="47" spans="1:9" x14ac:dyDescent="0.25">
      <c r="A47" s="1"/>
      <c r="B47" s="97" t="s">
        <v>112</v>
      </c>
      <c r="C47" s="98"/>
      <c r="D47" s="98"/>
      <c r="E47" s="98"/>
      <c r="F47" s="99"/>
      <c r="G47" s="22">
        <f>(G41+G42-G43)*(1+'Fane 13. Nøgletal'!C15)</f>
        <v>6811373.0649427017</v>
      </c>
      <c r="H47" s="14" t="s">
        <v>3</v>
      </c>
      <c r="I47" s="1"/>
    </row>
    <row r="48" spans="1:9" x14ac:dyDescent="0.25">
      <c r="A48" s="1"/>
      <c r="B48" s="97" t="s">
        <v>206</v>
      </c>
      <c r="C48" s="98"/>
      <c r="D48" s="98"/>
      <c r="E48" s="98"/>
      <c r="F48" s="99"/>
      <c r="G48" s="22">
        <f>('Fane 2.1. Økonomisk ramme 2024'!C9+'Fane 2.1. Økonomisk ramme 2024'!C11+'Fane 2.1. Økonomisk ramme 2024'!C13)*(1+'Fane 13. Nøgletal'!C16)</f>
        <v>44682.088608639999</v>
      </c>
      <c r="H48" s="14" t="s">
        <v>3</v>
      </c>
      <c r="I48" s="1"/>
    </row>
    <row r="49" spans="1:9" x14ac:dyDescent="0.25">
      <c r="A49" s="1"/>
      <c r="B49" s="97" t="s">
        <v>167</v>
      </c>
      <c r="C49" s="98"/>
      <c r="D49" s="98"/>
      <c r="E49" s="98"/>
      <c r="F49" s="99"/>
      <c r="G49" s="22">
        <f>G47*'Fane 13. Nøgletal'!C33+G48*'Fane 13. Nøgletal'!C33</f>
        <v>137121.10307102682</v>
      </c>
      <c r="H49" s="14" t="s">
        <v>3</v>
      </c>
      <c r="I49" s="1"/>
    </row>
    <row r="50" spans="1:9" x14ac:dyDescent="0.25">
      <c r="A50" s="1"/>
      <c r="B50" s="51"/>
      <c r="C50" s="52"/>
      <c r="D50" s="52"/>
      <c r="E50" s="52"/>
      <c r="F50" s="52"/>
      <c r="G50" s="35"/>
      <c r="H50" s="19"/>
      <c r="I50" s="1"/>
    </row>
    <row r="51" spans="1:9" x14ac:dyDescent="0.25">
      <c r="A51" s="1"/>
      <c r="B51" s="1"/>
      <c r="C51" s="1"/>
      <c r="D51" s="1"/>
      <c r="E51" s="1"/>
      <c r="F51" s="1"/>
      <c r="G51" s="36"/>
      <c r="H51" s="1"/>
      <c r="I51" s="1"/>
    </row>
    <row r="52" spans="1:9" x14ac:dyDescent="0.25">
      <c r="A52" s="1"/>
      <c r="B52" s="103" t="s">
        <v>133</v>
      </c>
      <c r="C52" s="104"/>
      <c r="D52" s="104"/>
      <c r="E52" s="104"/>
      <c r="F52" s="104"/>
      <c r="G52" s="104"/>
      <c r="H52" s="105"/>
      <c r="I52" s="1"/>
    </row>
    <row r="53" spans="1:9" x14ac:dyDescent="0.25">
      <c r="A53" s="1"/>
      <c r="B53" s="97" t="s">
        <v>134</v>
      </c>
      <c r="C53" s="98"/>
      <c r="D53" s="98"/>
      <c r="E53" s="98"/>
      <c r="F53" s="99"/>
      <c r="G53" s="22">
        <f>(G47+G48-G49)*(1+'Fane 13. Nøgletal'!C16)</f>
        <v>7261823.9217591248</v>
      </c>
      <c r="H53" s="14" t="s">
        <v>3</v>
      </c>
      <c r="I53" s="1"/>
    </row>
    <row r="54" spans="1:9" x14ac:dyDescent="0.25">
      <c r="A54" s="1"/>
      <c r="B54" s="97" t="s">
        <v>135</v>
      </c>
      <c r="C54" s="98"/>
      <c r="D54" s="98"/>
      <c r="E54" s="98"/>
      <c r="F54" s="99"/>
      <c r="G54" s="22">
        <f>(G53)*'Fane 13. Nøgletal'!C33</f>
        <v>145236.47843518251</v>
      </c>
      <c r="H54" s="14" t="s">
        <v>3</v>
      </c>
      <c r="I54" s="1"/>
    </row>
    <row r="55" spans="1:9" x14ac:dyDescent="0.25">
      <c r="A55" s="1"/>
      <c r="B55" s="51"/>
      <c r="C55" s="52"/>
      <c r="D55" s="52"/>
      <c r="E55" s="52"/>
      <c r="F55" s="52"/>
      <c r="G55" s="35"/>
      <c r="H55" s="19"/>
      <c r="I55" s="1"/>
    </row>
    <row r="56" spans="1:9" x14ac:dyDescent="0.25">
      <c r="A56" s="1"/>
      <c r="B56" s="1"/>
      <c r="C56" s="1"/>
      <c r="D56" s="1"/>
      <c r="E56" s="1"/>
      <c r="F56" s="1"/>
      <c r="G56" s="36"/>
      <c r="H56" s="1"/>
      <c r="I56" s="1"/>
    </row>
    <row r="57" spans="1:9" x14ac:dyDescent="0.25">
      <c r="A57" s="1"/>
      <c r="B57" s="103" t="s">
        <v>144</v>
      </c>
      <c r="C57" s="104"/>
      <c r="D57" s="104"/>
      <c r="E57" s="104"/>
      <c r="F57" s="104"/>
      <c r="G57" s="104"/>
      <c r="H57" s="105"/>
      <c r="I57" s="1"/>
    </row>
    <row r="58" spans="1:9" x14ac:dyDescent="0.25">
      <c r="A58" s="1"/>
      <c r="B58" s="97" t="s">
        <v>145</v>
      </c>
      <c r="C58" s="98"/>
      <c r="D58" s="98"/>
      <c r="E58" s="98"/>
      <c r="F58" s="99"/>
      <c r="G58" s="22">
        <f>(G53-G54)*(1+'Fane 13. Nøgletal'!C16)</f>
        <v>7691607.7087445166</v>
      </c>
      <c r="H58" s="14" t="s">
        <v>3</v>
      </c>
      <c r="I58" s="1"/>
    </row>
    <row r="59" spans="1:9" x14ac:dyDescent="0.25">
      <c r="A59" s="1"/>
      <c r="B59" s="97" t="s">
        <v>146</v>
      </c>
      <c r="C59" s="98"/>
      <c r="D59" s="98"/>
      <c r="E59" s="98"/>
      <c r="F59" s="99"/>
      <c r="G59" s="22">
        <f>(G58)*'Fane 13. Nøgletal'!C33</f>
        <v>153832.15417489034</v>
      </c>
      <c r="H59" s="14" t="s">
        <v>3</v>
      </c>
      <c r="I59" s="1"/>
    </row>
    <row r="60" spans="1:9" x14ac:dyDescent="0.25">
      <c r="A60" s="1"/>
      <c r="B60" s="51"/>
      <c r="C60" s="52"/>
      <c r="D60" s="52"/>
      <c r="E60" s="52"/>
      <c r="F60" s="52"/>
      <c r="G60" s="35"/>
      <c r="H60" s="19"/>
      <c r="I60" s="1"/>
    </row>
    <row r="61" spans="1:9" x14ac:dyDescent="0.25">
      <c r="A61" s="1"/>
      <c r="B61" s="1"/>
      <c r="C61" s="1"/>
      <c r="D61" s="1"/>
      <c r="E61" s="1"/>
      <c r="F61" s="1"/>
      <c r="G61" s="36"/>
      <c r="H61" s="1"/>
      <c r="I61" s="1"/>
    </row>
    <row r="62" spans="1:9" x14ac:dyDescent="0.25">
      <c r="A62" s="1"/>
      <c r="B62" s="103" t="s">
        <v>220</v>
      </c>
      <c r="C62" s="104"/>
      <c r="D62" s="104"/>
      <c r="E62" s="104"/>
      <c r="F62" s="104"/>
      <c r="G62" s="104"/>
      <c r="H62" s="105"/>
      <c r="I62" s="1"/>
    </row>
    <row r="63" spans="1:9" x14ac:dyDescent="0.25">
      <c r="A63" s="1"/>
      <c r="B63" s="97" t="s">
        <v>221</v>
      </c>
      <c r="C63" s="98"/>
      <c r="D63" s="98"/>
      <c r="E63" s="98"/>
      <c r="F63" s="99"/>
      <c r="G63" s="22">
        <f>(G58-G59)*(1+'Fane 13. Nøgletal'!C16)</f>
        <v>8146827.8193788519</v>
      </c>
      <c r="H63" s="14" t="s">
        <v>3</v>
      </c>
      <c r="I63" s="1"/>
    </row>
    <row r="64" spans="1:9" x14ac:dyDescent="0.25">
      <c r="A64" s="1"/>
      <c r="B64" s="97" t="s">
        <v>222</v>
      </c>
      <c r="C64" s="98"/>
      <c r="D64" s="98"/>
      <c r="E64" s="98"/>
      <c r="F64" s="99"/>
      <c r="G64" s="22">
        <f>(G63)*'Fane 13. Nøgletal'!C33</f>
        <v>162936.55638757703</v>
      </c>
      <c r="H64" s="14" t="s">
        <v>3</v>
      </c>
      <c r="I64" s="1"/>
    </row>
    <row r="65" spans="1:9" x14ac:dyDescent="0.25">
      <c r="A65" s="1"/>
      <c r="B65" s="51"/>
      <c r="C65" s="52"/>
      <c r="D65" s="52"/>
      <c r="E65" s="52"/>
      <c r="F65" s="52"/>
      <c r="G65" s="49"/>
      <c r="H65" s="19"/>
      <c r="I65" s="1"/>
    </row>
    <row r="66" spans="1:9" x14ac:dyDescent="0.25">
      <c r="A66" s="1"/>
      <c r="B66" s="1"/>
      <c r="C66" s="1"/>
      <c r="D66" s="1"/>
      <c r="E66" s="1"/>
      <c r="F66" s="1"/>
      <c r="G66" s="36"/>
      <c r="H66" s="1"/>
      <c r="I66" s="1"/>
    </row>
    <row r="67" spans="1:9" x14ac:dyDescent="0.25">
      <c r="A67" s="1"/>
      <c r="B67" s="1"/>
      <c r="C67" s="1"/>
      <c r="D67" s="1"/>
      <c r="E67" s="1"/>
      <c r="F67" s="1"/>
      <c r="G67" s="36"/>
      <c r="H67" s="1"/>
      <c r="I67" s="1"/>
    </row>
    <row r="68" spans="1:9" x14ac:dyDescent="0.25">
      <c r="A68" s="1"/>
      <c r="B68" s="1"/>
      <c r="C68" s="1"/>
      <c r="D68" s="1"/>
      <c r="E68" s="1"/>
      <c r="F68" s="1"/>
      <c r="G68" s="36"/>
      <c r="H68" s="1"/>
      <c r="I68" s="1"/>
    </row>
    <row r="69" spans="1:9" x14ac:dyDescent="0.25">
      <c r="A69" s="1"/>
      <c r="B69" s="1"/>
      <c r="C69" s="1"/>
      <c r="D69" s="1"/>
      <c r="E69" s="1"/>
      <c r="F69" s="1"/>
      <c r="G69" s="36"/>
      <c r="H69" s="1"/>
      <c r="I69" s="1"/>
    </row>
    <row r="70" spans="1:9" x14ac:dyDescent="0.25">
      <c r="A70" s="1"/>
      <c r="B70" s="1"/>
      <c r="C70" s="1"/>
      <c r="D70" s="1"/>
      <c r="E70" s="1"/>
      <c r="F70" s="1"/>
      <c r="G70" s="36"/>
      <c r="H70" s="1"/>
      <c r="I70" s="1"/>
    </row>
    <row r="71" spans="1:9" x14ac:dyDescent="0.25">
      <c r="A71" s="1"/>
      <c r="B71" s="1"/>
      <c r="C71" s="1"/>
      <c r="D71" s="1"/>
      <c r="E71" s="1"/>
      <c r="F71" s="1"/>
      <c r="G71" s="36"/>
      <c r="H71" s="1"/>
      <c r="I71" s="1"/>
    </row>
    <row r="72" spans="1:9" x14ac:dyDescent="0.25">
      <c r="A72" s="1"/>
      <c r="B72" s="1"/>
      <c r="C72" s="1"/>
      <c r="D72" s="1"/>
      <c r="E72" s="1"/>
      <c r="F72" s="1"/>
      <c r="G72" s="36"/>
      <c r="H72" s="1"/>
      <c r="I72" s="1"/>
    </row>
    <row r="73" spans="1:9" x14ac:dyDescent="0.25">
      <c r="A73" s="1"/>
      <c r="B73" s="1"/>
      <c r="C73" s="1"/>
      <c r="D73" s="1"/>
      <c r="E73" s="1"/>
      <c r="F73" s="1"/>
      <c r="G73" s="36"/>
      <c r="H73" s="1"/>
      <c r="I73" s="1"/>
    </row>
    <row r="74" spans="1:9" x14ac:dyDescent="0.25">
      <c r="A74" s="1"/>
      <c r="B74" s="1"/>
      <c r="C74" s="1"/>
      <c r="D74" s="1"/>
      <c r="E74" s="1"/>
      <c r="F74" s="1"/>
      <c r="G74" s="36"/>
      <c r="H74" s="1"/>
      <c r="I74" s="1"/>
    </row>
    <row r="75" spans="1:9" x14ac:dyDescent="0.25">
      <c r="A75" s="1"/>
      <c r="B75" s="1"/>
      <c r="C75" s="1"/>
      <c r="D75" s="1"/>
      <c r="E75" s="1"/>
      <c r="F75" s="1"/>
      <c r="G75" s="36"/>
      <c r="H75" s="1"/>
      <c r="I75" s="1"/>
    </row>
    <row r="76" spans="1:9" x14ac:dyDescent="0.25">
      <c r="A76" s="1"/>
      <c r="B76" s="1"/>
      <c r="C76" s="1"/>
      <c r="D76" s="1"/>
      <c r="E76" s="1"/>
      <c r="F76" s="1"/>
      <c r="G76" s="36"/>
      <c r="H76" s="1"/>
      <c r="I76" s="1"/>
    </row>
    <row r="77" spans="1:9" x14ac:dyDescent="0.25">
      <c r="A77" s="1"/>
      <c r="B77" s="1"/>
      <c r="C77" s="1"/>
      <c r="D77" s="1"/>
      <c r="E77" s="1"/>
      <c r="F77" s="1"/>
      <c r="G77" s="36"/>
      <c r="H77" s="1"/>
      <c r="I77" s="1"/>
    </row>
    <row r="78" spans="1:9" x14ac:dyDescent="0.25">
      <c r="A78" s="1"/>
      <c r="B78" s="1"/>
      <c r="C78" s="1"/>
      <c r="D78" s="1"/>
      <c r="E78" s="1"/>
      <c r="F78" s="1"/>
      <c r="G78" s="36"/>
      <c r="H78" s="1"/>
      <c r="I78" s="1"/>
    </row>
    <row r="79" spans="1:9" x14ac:dyDescent="0.25">
      <c r="A79" s="1"/>
      <c r="B79" s="1"/>
      <c r="C79" s="1"/>
      <c r="D79" s="1"/>
      <c r="E79" s="1"/>
      <c r="F79" s="1"/>
      <c r="G79" s="36"/>
      <c r="H79" s="1"/>
      <c r="I79" s="1"/>
    </row>
    <row r="80" spans="1:9" x14ac:dyDescent="0.25">
      <c r="A80" s="1"/>
      <c r="B80" s="1"/>
      <c r="C80" s="1"/>
      <c r="D80" s="1"/>
      <c r="E80" s="1"/>
      <c r="F80" s="1"/>
      <c r="G80" s="36"/>
      <c r="H80" s="1"/>
      <c r="I80" s="1"/>
    </row>
    <row r="81" spans="1:9" x14ac:dyDescent="0.25">
      <c r="A81" s="1"/>
      <c r="B81" s="1"/>
      <c r="C81" s="1"/>
      <c r="D81" s="1"/>
      <c r="E81" s="1"/>
      <c r="F81" s="1"/>
      <c r="G81" s="36"/>
      <c r="H81" s="1"/>
      <c r="I81" s="1"/>
    </row>
    <row r="82" spans="1:9" x14ac:dyDescent="0.25">
      <c r="A82" s="1"/>
      <c r="B82" s="1"/>
      <c r="C82" s="1"/>
      <c r="D82" s="1"/>
      <c r="E82" s="1"/>
      <c r="F82" s="1"/>
      <c r="G82" s="36"/>
      <c r="H82" s="1"/>
      <c r="I82" s="1"/>
    </row>
    <row r="83" spans="1:9" x14ac:dyDescent="0.25">
      <c r="A83" s="1"/>
      <c r="B83" s="1"/>
      <c r="C83" s="1"/>
      <c r="D83" s="1"/>
      <c r="E83" s="1"/>
      <c r="F83" s="1"/>
      <c r="G83" s="36"/>
      <c r="H83" s="1"/>
      <c r="I83" s="1"/>
    </row>
    <row r="84" spans="1:9" x14ac:dyDescent="0.25">
      <c r="A84" s="1"/>
      <c r="B84" s="1"/>
      <c r="C84" s="1"/>
      <c r="D84" s="1"/>
      <c r="E84" s="1"/>
      <c r="F84" s="1"/>
      <c r="G84" s="36"/>
      <c r="H84" s="1"/>
      <c r="I84" s="1"/>
    </row>
    <row r="85" spans="1:9" x14ac:dyDescent="0.25">
      <c r="A85" s="1"/>
      <c r="B85" s="1"/>
      <c r="C85" s="1"/>
      <c r="D85" s="1"/>
      <c r="E85" s="1"/>
      <c r="F85" s="1"/>
      <c r="G85" s="36"/>
      <c r="H85" s="1"/>
      <c r="I85" s="1"/>
    </row>
    <row r="86" spans="1:9" x14ac:dyDescent="0.25">
      <c r="A86" s="1"/>
      <c r="B86" s="1"/>
      <c r="C86" s="1"/>
      <c r="D86" s="1"/>
      <c r="E86" s="1"/>
      <c r="F86" s="1"/>
      <c r="G86" s="36"/>
      <c r="H86" s="1"/>
      <c r="I86" s="1"/>
    </row>
    <row r="87" spans="1:9" x14ac:dyDescent="0.25">
      <c r="A87" s="1"/>
      <c r="B87" s="1"/>
      <c r="C87" s="1"/>
      <c r="D87" s="1"/>
      <c r="E87" s="1"/>
      <c r="F87" s="1"/>
      <c r="G87" s="36"/>
      <c r="H87" s="1"/>
      <c r="I87" s="1"/>
    </row>
    <row r="88" spans="1:9" x14ac:dyDescent="0.25">
      <c r="A88" s="1"/>
      <c r="B88" s="1"/>
      <c r="C88" s="1"/>
      <c r="D88" s="1"/>
      <c r="E88" s="1"/>
      <c r="F88" s="1"/>
      <c r="G88" s="36"/>
      <c r="H88" s="1"/>
      <c r="I88" s="1"/>
    </row>
    <row r="89" spans="1:9" x14ac:dyDescent="0.25">
      <c r="A89" s="1"/>
      <c r="B89" s="1"/>
      <c r="C89" s="1"/>
      <c r="D89" s="1"/>
      <c r="E89" s="1"/>
      <c r="F89" s="1"/>
      <c r="G89" s="36"/>
      <c r="H89" s="1"/>
      <c r="I89" s="1"/>
    </row>
    <row r="90" spans="1:9" x14ac:dyDescent="0.25">
      <c r="A90" s="1"/>
      <c r="B90" s="1"/>
      <c r="C90" s="1"/>
      <c r="D90" s="1"/>
      <c r="E90" s="1"/>
      <c r="F90" s="1"/>
      <c r="G90" s="36"/>
      <c r="H90" s="1"/>
      <c r="I90" s="1"/>
    </row>
    <row r="91" spans="1:9" x14ac:dyDescent="0.25">
      <c r="A91" s="1"/>
      <c r="B91" s="1"/>
      <c r="C91" s="1"/>
      <c r="D91" s="1"/>
      <c r="E91" s="1"/>
      <c r="F91" s="1"/>
      <c r="G91" s="36"/>
      <c r="H91" s="1"/>
      <c r="I91" s="1"/>
    </row>
    <row r="92" spans="1:9" x14ac:dyDescent="0.25">
      <c r="A92" s="1"/>
      <c r="B92" s="1"/>
      <c r="C92" s="1"/>
      <c r="D92" s="1"/>
      <c r="E92" s="1"/>
      <c r="F92" s="1"/>
      <c r="G92" s="36"/>
      <c r="H92" s="1"/>
      <c r="I92" s="1"/>
    </row>
    <row r="93" spans="1:9" x14ac:dyDescent="0.25">
      <c r="A93" s="1"/>
      <c r="B93" s="1"/>
      <c r="C93" s="1"/>
      <c r="D93" s="1"/>
      <c r="E93" s="1"/>
      <c r="F93" s="1"/>
      <c r="G93" s="36"/>
      <c r="H93" s="1"/>
      <c r="I93" s="1"/>
    </row>
    <row r="94" spans="1:9" x14ac:dyDescent="0.25">
      <c r="A94" s="1"/>
      <c r="B94" s="1"/>
      <c r="C94" s="1"/>
      <c r="D94" s="1"/>
      <c r="E94" s="1"/>
      <c r="F94" s="1"/>
      <c r="G94" s="36"/>
      <c r="H94" s="1"/>
      <c r="I94" s="1"/>
    </row>
    <row r="95" spans="1:9" x14ac:dyDescent="0.25">
      <c r="A95" s="1"/>
      <c r="B95" s="1"/>
      <c r="C95" s="1"/>
      <c r="D95" s="1"/>
      <c r="E95" s="1"/>
      <c r="F95" s="1"/>
      <c r="G95" s="36"/>
      <c r="H95" s="1"/>
      <c r="I95" s="1"/>
    </row>
    <row r="96" spans="1:9" x14ac:dyDescent="0.25">
      <c r="A96" s="1"/>
      <c r="B96" s="1"/>
      <c r="C96" s="1"/>
      <c r="D96" s="1"/>
      <c r="E96" s="1"/>
      <c r="F96" s="1"/>
      <c r="G96" s="36"/>
      <c r="H96" s="1"/>
      <c r="I96" s="1"/>
    </row>
    <row r="97" spans="1:9" x14ac:dyDescent="0.25">
      <c r="A97" s="1"/>
      <c r="B97" s="1"/>
      <c r="C97" s="1"/>
      <c r="D97" s="1"/>
      <c r="E97" s="1"/>
      <c r="F97" s="1"/>
      <c r="G97" s="36"/>
      <c r="H97" s="1"/>
      <c r="I97" s="1"/>
    </row>
    <row r="98" spans="1:9" x14ac:dyDescent="0.25">
      <c r="A98" s="1"/>
      <c r="B98" s="1"/>
      <c r="C98" s="1"/>
      <c r="D98" s="1"/>
      <c r="E98" s="1"/>
      <c r="F98" s="1"/>
      <c r="G98" s="36"/>
      <c r="H98" s="1"/>
      <c r="I98" s="1"/>
    </row>
    <row r="99" spans="1:9" x14ac:dyDescent="0.25">
      <c r="A99" s="1"/>
      <c r="B99" s="1"/>
      <c r="C99" s="1"/>
      <c r="D99" s="1"/>
      <c r="E99" s="1"/>
      <c r="F99" s="1"/>
      <c r="G99" s="36"/>
      <c r="H99" s="1"/>
      <c r="I99" s="1"/>
    </row>
    <row r="100" spans="1:9" x14ac:dyDescent="0.25">
      <c r="A100" s="1"/>
      <c r="B100" s="1"/>
      <c r="C100" s="1"/>
      <c r="D100" s="1"/>
      <c r="E100" s="1"/>
      <c r="F100" s="1"/>
      <c r="G100" s="36"/>
      <c r="H100" s="1"/>
      <c r="I100" s="1"/>
    </row>
  </sheetData>
  <sheetProtection algorithmName="SHA-512" hashValue="fcLQETwxC1x/SbDb0N3Ug/NZwJWOKxY/ZKn8k4IIa4uNxljk25Ozsvv/s1UqvhliAwUhEg0JGcw0xLB7k0ogpA==" saltValue="Y9aqPz/7kNl+pAgCV/x49w==" spinCount="100000" sheet="1" objects="1" scenarios="1"/>
  <mergeCells count="42">
    <mergeCell ref="B62:H62"/>
    <mergeCell ref="B63:F63"/>
    <mergeCell ref="B64:F64"/>
    <mergeCell ref="B59:F59"/>
    <mergeCell ref="B52:H52"/>
    <mergeCell ref="B53:F53"/>
    <mergeCell ref="B54:F54"/>
    <mergeCell ref="B58:F58"/>
    <mergeCell ref="B37:F37"/>
    <mergeCell ref="B46:H46"/>
    <mergeCell ref="B48:F48"/>
    <mergeCell ref="B36:F36"/>
    <mergeCell ref="B57:H57"/>
    <mergeCell ref="B47:F47"/>
    <mergeCell ref="B49:F49"/>
    <mergeCell ref="B40:H40"/>
    <mergeCell ref="B41:F41"/>
    <mergeCell ref="B43:F43"/>
    <mergeCell ref="B42:F42"/>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100"/>
  <sheetViews>
    <sheetView showGridLines="0" view="pageLayout" zoomScaleNormal="120" workbookViewId="0"/>
  </sheetViews>
  <sheetFormatPr defaultColWidth="9.140625" defaultRowHeight="15" x14ac:dyDescent="0.25"/>
  <cols>
    <col min="1" max="1" width="2.85546875" style="2" customWidth="1"/>
    <col min="2" max="5" width="9.140625" style="2"/>
    <col min="6" max="6" width="25.7109375" style="2" customWidth="1"/>
    <col min="7" max="7" width="10.28515625" style="2" customWidth="1"/>
    <col min="8" max="8" width="2.85546875" style="2" bestFit="1" customWidth="1"/>
    <col min="9" max="9" width="2.85546875" style="2" customWidth="1"/>
    <col min="10" max="16384" width="9.140625" style="2"/>
  </cols>
  <sheetData>
    <row r="1" spans="1:9" x14ac:dyDescent="0.25">
      <c r="A1" s="1"/>
      <c r="B1" s="106" t="s">
        <v>91</v>
      </c>
      <c r="C1" s="107"/>
      <c r="D1" s="107"/>
      <c r="E1" s="107"/>
      <c r="F1" s="107"/>
      <c r="G1" s="107"/>
      <c r="H1" s="107"/>
      <c r="I1" s="1"/>
    </row>
    <row r="2" spans="1:9" ht="19.899999999999999" customHeight="1" x14ac:dyDescent="0.25">
      <c r="A2" s="1"/>
      <c r="B2" s="107"/>
      <c r="C2" s="107"/>
      <c r="D2" s="107"/>
      <c r="E2" s="107"/>
      <c r="F2" s="107"/>
      <c r="G2" s="107"/>
      <c r="H2" s="107"/>
      <c r="I2" s="1"/>
    </row>
    <row r="3" spans="1:9" ht="15" customHeight="1" x14ac:dyDescent="0.25">
      <c r="A3" s="1"/>
      <c r="B3" s="108"/>
      <c r="C3" s="108"/>
      <c r="D3" s="108"/>
      <c r="E3" s="108"/>
      <c r="F3" s="108"/>
      <c r="G3" s="108"/>
      <c r="H3" s="108"/>
      <c r="I3" s="1"/>
    </row>
    <row r="4" spans="1:9" x14ac:dyDescent="0.25">
      <c r="A4" s="1"/>
      <c r="B4" s="103" t="s">
        <v>48</v>
      </c>
      <c r="C4" s="104"/>
      <c r="D4" s="104"/>
      <c r="E4" s="104"/>
      <c r="F4" s="104"/>
      <c r="G4" s="104"/>
      <c r="H4" s="105"/>
      <c r="I4" s="1"/>
    </row>
    <row r="5" spans="1:9" x14ac:dyDescent="0.25">
      <c r="A5" s="1"/>
      <c r="B5" s="97" t="s">
        <v>51</v>
      </c>
      <c r="C5" s="98"/>
      <c r="D5" s="98"/>
      <c r="E5" s="98"/>
      <c r="F5" s="99"/>
      <c r="G5" s="47">
        <v>5195290.4772259602</v>
      </c>
      <c r="H5" s="14" t="s">
        <v>3</v>
      </c>
      <c r="I5" s="1"/>
    </row>
    <row r="6" spans="1:9" x14ac:dyDescent="0.25">
      <c r="A6" s="1"/>
      <c r="B6" s="97" t="s">
        <v>49</v>
      </c>
      <c r="C6" s="98"/>
      <c r="D6" s="98"/>
      <c r="E6" s="98"/>
      <c r="F6" s="99"/>
      <c r="G6" s="22">
        <f>G5*'Fane 13. Nøgletal'!C21</f>
        <v>47277.143342756237</v>
      </c>
      <c r="H6" s="14" t="s">
        <v>3</v>
      </c>
      <c r="I6" s="1"/>
    </row>
    <row r="7" spans="1:9" x14ac:dyDescent="0.25">
      <c r="A7" s="1"/>
      <c r="B7" s="51"/>
      <c r="C7" s="52"/>
      <c r="D7" s="52"/>
      <c r="E7" s="52"/>
      <c r="F7" s="52"/>
      <c r="G7" s="52"/>
      <c r="H7" s="19"/>
      <c r="I7" s="1"/>
    </row>
    <row r="8" spans="1:9" x14ac:dyDescent="0.25">
      <c r="A8" s="1"/>
      <c r="B8" s="1"/>
      <c r="C8" s="1"/>
      <c r="D8" s="1"/>
      <c r="E8" s="1"/>
      <c r="F8" s="1"/>
      <c r="G8" s="1"/>
      <c r="H8" s="1"/>
      <c r="I8" s="1"/>
    </row>
    <row r="9" spans="1:9" x14ac:dyDescent="0.25">
      <c r="A9" s="1"/>
      <c r="B9" s="103" t="s">
        <v>52</v>
      </c>
      <c r="C9" s="104"/>
      <c r="D9" s="104"/>
      <c r="E9" s="104"/>
      <c r="F9" s="104"/>
      <c r="G9" s="104"/>
      <c r="H9" s="105"/>
      <c r="I9" s="1"/>
    </row>
    <row r="10" spans="1:9" x14ac:dyDescent="0.25">
      <c r="A10" s="1"/>
      <c r="B10" s="97" t="s">
        <v>53</v>
      </c>
      <c r="C10" s="98"/>
      <c r="D10" s="98"/>
      <c r="E10" s="98"/>
      <c r="F10" s="99"/>
      <c r="G10" s="22">
        <f>(G5-G6)*(1+'Fane 13. Nøgletal'!C9)</f>
        <v>5213393.1032235203</v>
      </c>
      <c r="H10" s="14" t="s">
        <v>3</v>
      </c>
      <c r="I10" s="1"/>
    </row>
    <row r="11" spans="1:9" x14ac:dyDescent="0.25">
      <c r="A11" s="1"/>
      <c r="B11" s="100" t="s">
        <v>54</v>
      </c>
      <c r="C11" s="101"/>
      <c r="D11" s="101"/>
      <c r="E11" s="101"/>
      <c r="F11" s="102"/>
      <c r="G11" s="48">
        <v>0</v>
      </c>
      <c r="H11" s="14" t="s">
        <v>3</v>
      </c>
      <c r="I11" s="1"/>
    </row>
    <row r="12" spans="1:9" x14ac:dyDescent="0.25">
      <c r="A12" s="1"/>
      <c r="B12" s="97" t="s">
        <v>55</v>
      </c>
      <c r="C12" s="98"/>
      <c r="D12" s="98"/>
      <c r="E12" s="98"/>
      <c r="F12" s="99"/>
      <c r="G12" s="22">
        <f>G10*'Fane 13. Nøgletal'!C21+G11*'Fane 13. Nøgletal'!C22</f>
        <v>47441.87723933404</v>
      </c>
      <c r="H12" s="14" t="s">
        <v>3</v>
      </c>
      <c r="I12" s="1"/>
    </row>
    <row r="13" spans="1:9" x14ac:dyDescent="0.25">
      <c r="A13" s="1"/>
      <c r="B13" s="51"/>
      <c r="C13" s="52"/>
      <c r="D13" s="52"/>
      <c r="E13" s="52"/>
      <c r="F13" s="52"/>
      <c r="G13" s="52"/>
      <c r="H13" s="19"/>
      <c r="I13" s="1"/>
    </row>
    <row r="14" spans="1:9" x14ac:dyDescent="0.25">
      <c r="A14" s="1"/>
      <c r="B14" s="1"/>
      <c r="C14" s="1"/>
      <c r="D14" s="1"/>
      <c r="E14" s="1"/>
      <c r="F14" s="1"/>
      <c r="G14" s="1"/>
      <c r="H14" s="1"/>
      <c r="I14" s="1"/>
    </row>
    <row r="15" spans="1:9" x14ac:dyDescent="0.25">
      <c r="A15" s="1"/>
      <c r="B15" s="103" t="s">
        <v>56</v>
      </c>
      <c r="C15" s="104"/>
      <c r="D15" s="104"/>
      <c r="E15" s="104"/>
      <c r="F15" s="104"/>
      <c r="G15" s="104"/>
      <c r="H15" s="105"/>
      <c r="I15" s="1"/>
    </row>
    <row r="16" spans="1:9" x14ac:dyDescent="0.25">
      <c r="A16" s="1"/>
      <c r="B16" s="97" t="s">
        <v>57</v>
      </c>
      <c r="C16" s="98"/>
      <c r="D16" s="98"/>
      <c r="E16" s="98"/>
      <c r="F16" s="99"/>
      <c r="G16" s="22">
        <f>(G10+G11-G12)*(1+'Fane 13. Nøgletal'!C11)</f>
        <v>5253255.801703318</v>
      </c>
      <c r="H16" s="14" t="s">
        <v>3</v>
      </c>
      <c r="I16" s="1"/>
    </row>
    <row r="17" spans="1:9" x14ac:dyDescent="0.25">
      <c r="A17" s="1"/>
      <c r="B17" s="97" t="s">
        <v>101</v>
      </c>
      <c r="C17" s="98"/>
      <c r="D17" s="98"/>
      <c r="E17" s="98"/>
      <c r="F17" s="99"/>
      <c r="G17" s="47">
        <v>288095.74283080065</v>
      </c>
      <c r="H17" s="14" t="s">
        <v>3</v>
      </c>
      <c r="I17" s="1"/>
    </row>
    <row r="18" spans="1:9" x14ac:dyDescent="0.25">
      <c r="A18" s="1"/>
      <c r="B18" s="100" t="s">
        <v>58</v>
      </c>
      <c r="C18" s="101"/>
      <c r="D18" s="101"/>
      <c r="E18" s="101"/>
      <c r="F18" s="102"/>
      <c r="G18" s="47">
        <v>0</v>
      </c>
      <c r="H18" s="14" t="s">
        <v>3</v>
      </c>
      <c r="I18" s="1"/>
    </row>
    <row r="19" spans="1:9" x14ac:dyDescent="0.25">
      <c r="A19" s="1"/>
      <c r="B19" s="97" t="s">
        <v>59</v>
      </c>
      <c r="C19" s="98"/>
      <c r="D19" s="98"/>
      <c r="E19" s="98"/>
      <c r="F19" s="99"/>
      <c r="G19" s="22">
        <f>(G16+G17+G18)*'Fane 13. Nøgletal'!C23</f>
        <v>48209.758437446828</v>
      </c>
      <c r="H19" s="14" t="s">
        <v>3</v>
      </c>
      <c r="I19" s="1"/>
    </row>
    <row r="20" spans="1:9" x14ac:dyDescent="0.25">
      <c r="A20" s="1"/>
      <c r="B20" s="51"/>
      <c r="C20" s="52"/>
      <c r="D20" s="52"/>
      <c r="E20" s="52"/>
      <c r="F20" s="52"/>
      <c r="G20" s="52"/>
      <c r="H20" s="19"/>
      <c r="I20" s="1"/>
    </row>
    <row r="21" spans="1:9" x14ac:dyDescent="0.25">
      <c r="A21" s="1"/>
      <c r="B21" s="1"/>
      <c r="C21" s="1"/>
      <c r="D21" s="1"/>
      <c r="E21" s="1"/>
      <c r="F21" s="1"/>
      <c r="G21" s="1"/>
      <c r="H21" s="1"/>
      <c r="I21" s="1"/>
    </row>
    <row r="22" spans="1:9" x14ac:dyDescent="0.25">
      <c r="A22" s="1"/>
      <c r="B22" s="103" t="s">
        <v>60</v>
      </c>
      <c r="C22" s="104"/>
      <c r="D22" s="104"/>
      <c r="E22" s="104"/>
      <c r="F22" s="104"/>
      <c r="G22" s="104"/>
      <c r="H22" s="105"/>
      <c r="I22" s="1"/>
    </row>
    <row r="23" spans="1:9" x14ac:dyDescent="0.25">
      <c r="A23" s="1"/>
      <c r="B23" s="97" t="s">
        <v>61</v>
      </c>
      <c r="C23" s="98"/>
      <c r="D23" s="98"/>
      <c r="E23" s="98"/>
      <c r="F23" s="99"/>
      <c r="G23" s="22">
        <f>(SUM(G16:G18)-G19)*(1+'Fane 13. Nøgletal'!C11)</f>
        <v>5585975.8822817048</v>
      </c>
      <c r="H23" s="14" t="s">
        <v>3</v>
      </c>
      <c r="I23" s="1"/>
    </row>
    <row r="24" spans="1:9" x14ac:dyDescent="0.25">
      <c r="A24" s="1"/>
      <c r="B24" s="100" t="s">
        <v>62</v>
      </c>
      <c r="C24" s="101"/>
      <c r="D24" s="101"/>
      <c r="E24" s="101"/>
      <c r="F24" s="102"/>
      <c r="G24" s="47">
        <v>0</v>
      </c>
      <c r="H24" s="14" t="s">
        <v>3</v>
      </c>
      <c r="I24" s="1"/>
    </row>
    <row r="25" spans="1:9" x14ac:dyDescent="0.25">
      <c r="A25" s="1"/>
      <c r="B25" s="97" t="s">
        <v>63</v>
      </c>
      <c r="C25" s="98"/>
      <c r="D25" s="98"/>
      <c r="E25" s="98"/>
      <c r="F25" s="99"/>
      <c r="G25" s="22">
        <f>G23*'Fane 13. Nøgletal'!C23+G24*'Fane 13. Nøgletal'!C24</f>
        <v>48597.990175850828</v>
      </c>
      <c r="H25" s="14" t="s">
        <v>3</v>
      </c>
      <c r="I25" s="1"/>
    </row>
    <row r="26" spans="1:9" x14ac:dyDescent="0.25">
      <c r="A26" s="1"/>
      <c r="B26" s="51"/>
      <c r="C26" s="52"/>
      <c r="D26" s="52"/>
      <c r="E26" s="52"/>
      <c r="F26" s="52"/>
      <c r="G26" s="52"/>
      <c r="H26" s="19"/>
      <c r="I26" s="1"/>
    </row>
    <row r="27" spans="1:9" x14ac:dyDescent="0.25">
      <c r="A27" s="1"/>
      <c r="B27" s="1"/>
      <c r="C27" s="1"/>
      <c r="D27" s="1"/>
      <c r="E27" s="1"/>
      <c r="F27" s="1"/>
      <c r="G27" s="1"/>
      <c r="H27" s="1"/>
      <c r="I27" s="1"/>
    </row>
    <row r="28" spans="1:9" x14ac:dyDescent="0.25">
      <c r="A28" s="1"/>
      <c r="B28" s="103" t="s">
        <v>119</v>
      </c>
      <c r="C28" s="104"/>
      <c r="D28" s="104"/>
      <c r="E28" s="104"/>
      <c r="F28" s="104"/>
      <c r="G28" s="104"/>
      <c r="H28" s="105"/>
      <c r="I28" s="1"/>
    </row>
    <row r="29" spans="1:9" x14ac:dyDescent="0.25">
      <c r="A29" s="1"/>
      <c r="B29" s="97" t="s">
        <v>64</v>
      </c>
      <c r="C29" s="98"/>
      <c r="D29" s="98"/>
      <c r="E29" s="98"/>
      <c r="F29" s="99"/>
      <c r="G29" s="22">
        <f>(G23+G24-G25)*(1+'Fane 13. Nøgletal'!C13)</f>
        <v>5604933.9023895459</v>
      </c>
      <c r="H29" s="14" t="s">
        <v>3</v>
      </c>
      <c r="I29" s="1"/>
    </row>
    <row r="30" spans="1:9" x14ac:dyDescent="0.25">
      <c r="A30" s="1"/>
      <c r="B30" s="97" t="s">
        <v>113</v>
      </c>
      <c r="C30" s="98"/>
      <c r="D30" s="98"/>
      <c r="E30" s="98"/>
      <c r="F30" s="99"/>
      <c r="G30" s="47">
        <v>0</v>
      </c>
      <c r="H30" s="14" t="s">
        <v>3</v>
      </c>
      <c r="I30" s="1"/>
    </row>
    <row r="31" spans="1:9" x14ac:dyDescent="0.25">
      <c r="A31" s="1"/>
      <c r="B31" s="97" t="s">
        <v>120</v>
      </c>
      <c r="C31" s="98"/>
      <c r="D31" s="98"/>
      <c r="E31" s="98"/>
      <c r="F31" s="99"/>
      <c r="G31" s="22">
        <f>(G29+G30)*'Fane 13. Nøgletal'!C25</f>
        <v>154135.6823157125</v>
      </c>
      <c r="H31" s="14" t="s">
        <v>3</v>
      </c>
      <c r="I31" s="1"/>
    </row>
    <row r="32" spans="1:9" x14ac:dyDescent="0.25">
      <c r="A32" s="1"/>
      <c r="B32" s="51"/>
      <c r="C32" s="52"/>
      <c r="D32" s="52"/>
      <c r="E32" s="52"/>
      <c r="F32" s="52"/>
      <c r="G32" s="52"/>
      <c r="H32" s="19"/>
      <c r="I32" s="1"/>
    </row>
    <row r="33" spans="1:9" x14ac:dyDescent="0.25">
      <c r="A33" s="1"/>
      <c r="B33" s="1"/>
      <c r="C33" s="1"/>
      <c r="D33" s="1"/>
      <c r="E33" s="1"/>
      <c r="F33" s="1"/>
      <c r="G33" s="1"/>
      <c r="H33" s="1"/>
      <c r="I33" s="1"/>
    </row>
    <row r="34" spans="1:9" x14ac:dyDescent="0.25">
      <c r="A34" s="1"/>
      <c r="B34" s="103" t="s">
        <v>124</v>
      </c>
      <c r="C34" s="104"/>
      <c r="D34" s="104"/>
      <c r="E34" s="104"/>
      <c r="F34" s="104"/>
      <c r="G34" s="104"/>
      <c r="H34" s="105"/>
      <c r="I34" s="1"/>
    </row>
    <row r="35" spans="1:9" x14ac:dyDescent="0.25">
      <c r="A35" s="1"/>
      <c r="B35" s="97" t="s">
        <v>67</v>
      </c>
      <c r="C35" s="98"/>
      <c r="D35" s="98"/>
      <c r="E35" s="98"/>
      <c r="F35" s="99"/>
      <c r="G35" s="22">
        <f>(G29+G30-G31)*(1+'Fane 13. Nøgletal'!C13)</f>
        <v>5517297.9583587339</v>
      </c>
      <c r="H35" s="14" t="s">
        <v>3</v>
      </c>
      <c r="I35" s="1"/>
    </row>
    <row r="36" spans="1:9" x14ac:dyDescent="0.25">
      <c r="A36" s="1"/>
      <c r="B36" s="97" t="s">
        <v>129</v>
      </c>
      <c r="C36" s="98"/>
      <c r="D36" s="98"/>
      <c r="E36" s="98"/>
      <c r="F36" s="99"/>
      <c r="G36" s="22">
        <v>0</v>
      </c>
      <c r="H36" s="14" t="s">
        <v>3</v>
      </c>
      <c r="I36" s="1"/>
    </row>
    <row r="37" spans="1:9" x14ac:dyDescent="0.25">
      <c r="A37" s="1"/>
      <c r="B37" s="97" t="s">
        <v>125</v>
      </c>
      <c r="C37" s="98"/>
      <c r="D37" s="98"/>
      <c r="E37" s="98"/>
      <c r="F37" s="99"/>
      <c r="G37" s="22">
        <f>G35*'Fane 13. Nøgletal'!C25+G36*'Fane 13. Nøgletal'!C26</f>
        <v>151725.69385486518</v>
      </c>
      <c r="H37" s="14" t="s">
        <v>3</v>
      </c>
      <c r="I37" s="1"/>
    </row>
    <row r="38" spans="1:9" x14ac:dyDescent="0.25">
      <c r="A38" s="1"/>
      <c r="B38" s="51"/>
      <c r="C38" s="52"/>
      <c r="D38" s="52"/>
      <c r="E38" s="52"/>
      <c r="F38" s="52"/>
      <c r="G38" s="52"/>
      <c r="H38" s="19"/>
      <c r="I38" s="1"/>
    </row>
    <row r="39" spans="1:9" x14ac:dyDescent="0.25">
      <c r="A39" s="1"/>
      <c r="B39" s="1"/>
      <c r="C39" s="1"/>
      <c r="D39" s="1"/>
      <c r="E39" s="1"/>
      <c r="F39" s="1"/>
      <c r="G39" s="1"/>
      <c r="H39" s="1"/>
      <c r="I39" s="1"/>
    </row>
    <row r="40" spans="1:9" x14ac:dyDescent="0.25">
      <c r="A40" s="1"/>
      <c r="B40" s="103" t="s">
        <v>159</v>
      </c>
      <c r="C40" s="104"/>
      <c r="D40" s="104"/>
      <c r="E40" s="104"/>
      <c r="F40" s="104"/>
      <c r="G40" s="104"/>
      <c r="H40" s="105"/>
      <c r="I40" s="1"/>
    </row>
    <row r="41" spans="1:9" x14ac:dyDescent="0.25">
      <c r="A41" s="1"/>
      <c r="B41" s="97" t="s">
        <v>66</v>
      </c>
      <c r="C41" s="98"/>
      <c r="D41" s="98"/>
      <c r="E41" s="98"/>
      <c r="F41" s="99"/>
      <c r="G41" s="22">
        <f>(G35+G36-G37)*(1+'Fane 13. Nøgletal'!C15)</f>
        <v>5556586.6371202068</v>
      </c>
      <c r="H41" s="14" t="s">
        <v>3</v>
      </c>
      <c r="I41" s="1"/>
    </row>
    <row r="42" spans="1:9" x14ac:dyDescent="0.25">
      <c r="A42" s="1"/>
      <c r="B42" s="97" t="s">
        <v>169</v>
      </c>
      <c r="C42" s="98"/>
      <c r="D42" s="98"/>
      <c r="E42" s="98"/>
      <c r="F42" s="99"/>
      <c r="G42" s="9">
        <v>0</v>
      </c>
      <c r="H42" s="14" t="s">
        <v>3</v>
      </c>
      <c r="I42" s="1"/>
    </row>
    <row r="43" spans="1:9" x14ac:dyDescent="0.25">
      <c r="A43" s="1"/>
      <c r="B43" s="97" t="s">
        <v>65</v>
      </c>
      <c r="C43" s="98"/>
      <c r="D43" s="98"/>
      <c r="E43" s="98"/>
      <c r="F43" s="99"/>
      <c r="G43" s="9">
        <f>(G41+G42)*'Fane 13. Nøgletal'!C27</f>
        <v>0</v>
      </c>
      <c r="H43" s="14" t="s">
        <v>3</v>
      </c>
      <c r="I43" s="1"/>
    </row>
    <row r="44" spans="1:9" x14ac:dyDescent="0.25">
      <c r="A44" s="1"/>
      <c r="B44" s="51"/>
      <c r="C44" s="52"/>
      <c r="D44" s="52"/>
      <c r="E44" s="52"/>
      <c r="F44" s="52"/>
      <c r="G44" s="52"/>
      <c r="H44" s="19"/>
      <c r="I44" s="1"/>
    </row>
    <row r="45" spans="1:9" ht="12" customHeight="1" x14ac:dyDescent="0.25">
      <c r="A45" s="1"/>
      <c r="B45" s="1"/>
      <c r="C45" s="1"/>
      <c r="D45" s="1"/>
      <c r="E45" s="1"/>
      <c r="F45" s="1"/>
      <c r="G45" s="1"/>
      <c r="H45" s="1"/>
      <c r="I45" s="1"/>
    </row>
    <row r="46" spans="1:9" x14ac:dyDescent="0.25">
      <c r="A46" s="1"/>
      <c r="B46" s="103" t="s">
        <v>160</v>
      </c>
      <c r="C46" s="104"/>
      <c r="D46" s="104"/>
      <c r="E46" s="104"/>
      <c r="F46" s="104"/>
      <c r="G46" s="104"/>
      <c r="H46" s="105"/>
      <c r="I46" s="1"/>
    </row>
    <row r="47" spans="1:9" x14ac:dyDescent="0.25">
      <c r="A47" s="1"/>
      <c r="B47" s="97" t="s">
        <v>114</v>
      </c>
      <c r="C47" s="98"/>
      <c r="D47" s="98"/>
      <c r="E47" s="98"/>
      <c r="F47" s="99"/>
      <c r="G47" s="22">
        <f>(G41+G42-G43)*(1+'Fane 13. Nøgletal'!C15)</f>
        <v>5754401.1214016862</v>
      </c>
      <c r="H47" s="14" t="s">
        <v>3</v>
      </c>
      <c r="I47" s="1"/>
    </row>
    <row r="48" spans="1:9" x14ac:dyDescent="0.25">
      <c r="A48" s="1"/>
      <c r="B48" s="97" t="s">
        <v>210</v>
      </c>
      <c r="C48" s="98"/>
      <c r="D48" s="98"/>
      <c r="E48" s="98"/>
      <c r="F48" s="99"/>
      <c r="G48" s="9">
        <f>('Fane 2.1. Økonomisk ramme 2024'!C10+'Fane 2.1. Økonomisk ramme 2024'!C12+'Fane 2.1. Økonomisk ramme 2024'!C14)*(1+'Fane 13. Nøgletal'!C16)</f>
        <v>0</v>
      </c>
      <c r="H48" s="14" t="s">
        <v>3</v>
      </c>
      <c r="I48" s="1"/>
    </row>
    <row r="49" spans="1:9" x14ac:dyDescent="0.25">
      <c r="A49" s="1"/>
      <c r="B49" s="97" t="s">
        <v>211</v>
      </c>
      <c r="C49" s="98"/>
      <c r="D49" s="98"/>
      <c r="E49" s="98"/>
      <c r="F49" s="99"/>
      <c r="G49" s="9">
        <f>(G47)*'Fane 13. Nøgletal'!C27+G48*'Fane 13. Nøgletal'!C28</f>
        <v>0</v>
      </c>
      <c r="H49" s="14" t="s">
        <v>3</v>
      </c>
      <c r="I49" s="1"/>
    </row>
    <row r="50" spans="1:9" x14ac:dyDescent="0.25">
      <c r="A50" s="1"/>
      <c r="B50" s="51"/>
      <c r="C50" s="52"/>
      <c r="D50" s="52"/>
      <c r="E50" s="52"/>
      <c r="F50" s="52"/>
      <c r="G50" s="52"/>
      <c r="H50" s="19"/>
      <c r="I50" s="1"/>
    </row>
    <row r="51" spans="1:9" x14ac:dyDescent="0.25">
      <c r="A51" s="1"/>
      <c r="B51" s="1"/>
      <c r="C51" s="1"/>
      <c r="D51" s="1"/>
      <c r="E51" s="1"/>
      <c r="F51" s="1"/>
      <c r="G51" s="1"/>
      <c r="H51" s="1"/>
      <c r="I51" s="1"/>
    </row>
    <row r="52" spans="1:9" x14ac:dyDescent="0.25">
      <c r="A52" s="1"/>
      <c r="B52" s="103" t="s">
        <v>130</v>
      </c>
      <c r="C52" s="104"/>
      <c r="D52" s="104"/>
      <c r="E52" s="104"/>
      <c r="F52" s="104"/>
      <c r="G52" s="104"/>
      <c r="H52" s="105"/>
      <c r="I52" s="1"/>
    </row>
    <row r="53" spans="1:9" x14ac:dyDescent="0.25">
      <c r="A53" s="1"/>
      <c r="B53" s="97" t="s">
        <v>131</v>
      </c>
      <c r="C53" s="98"/>
      <c r="D53" s="98"/>
      <c r="E53" s="98"/>
      <c r="F53" s="99"/>
      <c r="G53" s="22">
        <f>(G47+G48-G49)*(1+'Fane 13. Nøgletal'!C16)</f>
        <v>6219356.732010942</v>
      </c>
      <c r="H53" s="14" t="s">
        <v>3</v>
      </c>
      <c r="I53" s="1"/>
    </row>
    <row r="54" spans="1:9" x14ac:dyDescent="0.25">
      <c r="A54" s="1"/>
      <c r="B54" s="97" t="s">
        <v>132</v>
      </c>
      <c r="C54" s="98"/>
      <c r="D54" s="98"/>
      <c r="E54" s="98"/>
      <c r="F54" s="99"/>
      <c r="G54" s="9">
        <f>(G53)*'Fane 13. Nøgletal'!C28</f>
        <v>0</v>
      </c>
      <c r="H54" s="14" t="s">
        <v>3</v>
      </c>
      <c r="I54" s="1"/>
    </row>
    <row r="55" spans="1:9" x14ac:dyDescent="0.25">
      <c r="A55" s="1"/>
      <c r="B55" s="51"/>
      <c r="C55" s="52"/>
      <c r="D55" s="52"/>
      <c r="E55" s="52"/>
      <c r="F55" s="52"/>
      <c r="G55" s="52"/>
      <c r="H55" s="19"/>
      <c r="I55" s="1"/>
    </row>
    <row r="56" spans="1:9" x14ac:dyDescent="0.25">
      <c r="A56" s="1"/>
      <c r="B56" s="1"/>
      <c r="C56" s="1"/>
      <c r="D56" s="1"/>
      <c r="E56" s="1"/>
      <c r="F56" s="1"/>
      <c r="G56" s="1"/>
      <c r="H56" s="1"/>
      <c r="I56" s="1"/>
    </row>
    <row r="57" spans="1:9" x14ac:dyDescent="0.25">
      <c r="A57" s="1"/>
      <c r="B57" s="103" t="s">
        <v>147</v>
      </c>
      <c r="C57" s="104"/>
      <c r="D57" s="104"/>
      <c r="E57" s="104"/>
      <c r="F57" s="104"/>
      <c r="G57" s="104"/>
      <c r="H57" s="105"/>
      <c r="I57" s="1"/>
    </row>
    <row r="58" spans="1:9" x14ac:dyDescent="0.25">
      <c r="A58" s="1"/>
      <c r="B58" s="97" t="s">
        <v>148</v>
      </c>
      <c r="C58" s="98"/>
      <c r="D58" s="98"/>
      <c r="E58" s="98"/>
      <c r="F58" s="99"/>
      <c r="G58" s="22">
        <f>(G53-G54)*(1+'Fane 13. Nøgletal'!C16)</f>
        <v>6721880.7559574256</v>
      </c>
      <c r="H58" s="14" t="s">
        <v>3</v>
      </c>
      <c r="I58" s="1"/>
    </row>
    <row r="59" spans="1:9" x14ac:dyDescent="0.25">
      <c r="A59" s="1"/>
      <c r="B59" s="97" t="s">
        <v>149</v>
      </c>
      <c r="C59" s="98"/>
      <c r="D59" s="98"/>
      <c r="E59" s="98"/>
      <c r="F59" s="99"/>
      <c r="G59" s="9">
        <f>(G58)*'Fane 13. Nøgletal'!C28</f>
        <v>0</v>
      </c>
      <c r="H59" s="14" t="s">
        <v>3</v>
      </c>
      <c r="I59" s="1"/>
    </row>
    <row r="60" spans="1:9" x14ac:dyDescent="0.25">
      <c r="A60" s="1"/>
      <c r="B60" s="51"/>
      <c r="C60" s="52"/>
      <c r="D60" s="52"/>
      <c r="E60" s="52"/>
      <c r="F60" s="52"/>
      <c r="G60" s="52"/>
      <c r="H60" s="19"/>
      <c r="I60" s="1"/>
    </row>
    <row r="61" spans="1:9" x14ac:dyDescent="0.25">
      <c r="A61" s="1"/>
      <c r="B61" s="1"/>
      <c r="C61" s="1"/>
      <c r="D61" s="1"/>
      <c r="E61" s="1"/>
      <c r="F61" s="1"/>
      <c r="G61" s="1"/>
      <c r="H61" s="1"/>
      <c r="I61" s="1"/>
    </row>
    <row r="62" spans="1:9" x14ac:dyDescent="0.25">
      <c r="A62" s="1"/>
      <c r="B62" s="103" t="s">
        <v>223</v>
      </c>
      <c r="C62" s="104"/>
      <c r="D62" s="104"/>
      <c r="E62" s="104"/>
      <c r="F62" s="104"/>
      <c r="G62" s="104"/>
      <c r="H62" s="105"/>
      <c r="I62" s="1"/>
    </row>
    <row r="63" spans="1:9" x14ac:dyDescent="0.25">
      <c r="A63" s="1"/>
      <c r="B63" s="97" t="s">
        <v>224</v>
      </c>
      <c r="C63" s="98"/>
      <c r="D63" s="98"/>
      <c r="E63" s="98"/>
      <c r="F63" s="99"/>
      <c r="G63" s="22">
        <f>(G58-G59)*(1+'Fane 13. Nøgletal'!C16)</f>
        <v>7265008.7210387858</v>
      </c>
      <c r="H63" s="14" t="s">
        <v>3</v>
      </c>
      <c r="I63" s="1"/>
    </row>
    <row r="64" spans="1:9" x14ac:dyDescent="0.25">
      <c r="A64" s="1"/>
      <c r="B64" s="97" t="s">
        <v>225</v>
      </c>
      <c r="C64" s="98"/>
      <c r="D64" s="98"/>
      <c r="E64" s="98"/>
      <c r="F64" s="99"/>
      <c r="G64" s="9">
        <f>(G63)*'Fane 13. Nøgletal'!C28</f>
        <v>0</v>
      </c>
      <c r="H64" s="14" t="s">
        <v>3</v>
      </c>
      <c r="I64" s="1"/>
    </row>
    <row r="65" spans="1:9" x14ac:dyDescent="0.25">
      <c r="A65" s="1"/>
      <c r="B65" s="51"/>
      <c r="C65" s="52"/>
      <c r="D65" s="52"/>
      <c r="E65" s="52"/>
      <c r="F65" s="52"/>
      <c r="G65" s="52"/>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sheetData>
  <sheetProtection algorithmName="SHA-512" hashValue="nopp0UZZ0hGl245AebCNprk2mAtzVjrn2F0lAZDyG9SUXzoEdl5C5vkZxvGlCtWM1dTCKXmOkNOUpt6gDUeDKw==" saltValue="+2Q0i2G6hhHy8JrJv6stEw==" spinCount="100000" sheet="1" objects="1" scenarios="1"/>
  <mergeCells count="42">
    <mergeCell ref="B62:H62"/>
    <mergeCell ref="B63:F63"/>
    <mergeCell ref="B64:F64"/>
    <mergeCell ref="B57:H57"/>
    <mergeCell ref="B58:F58"/>
    <mergeCell ref="B59:F59"/>
    <mergeCell ref="B1:H3"/>
    <mergeCell ref="B52:H52"/>
    <mergeCell ref="B53:F53"/>
    <mergeCell ref="B54:F54"/>
    <mergeCell ref="B35:F35"/>
    <mergeCell ref="B43:F43"/>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7:F47"/>
    <mergeCell ref="B49:F49"/>
    <mergeCell ref="B36:F36"/>
    <mergeCell ref="B42:F42"/>
    <mergeCell ref="B41:F41"/>
    <mergeCell ref="B40:H40"/>
    <mergeCell ref="B37:F37"/>
    <mergeCell ref="B46:H46"/>
    <mergeCell ref="B48:F48"/>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50"/>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3" t="s">
        <v>77</v>
      </c>
      <c r="C3" s="93"/>
      <c r="D3" s="93"/>
      <c r="E3" s="93"/>
      <c r="F3" s="93"/>
      <c r="G3" s="93"/>
      <c r="H3" s="1"/>
    </row>
    <row r="4" spans="1:8" ht="15" customHeight="1" x14ac:dyDescent="0.25">
      <c r="A4" s="1"/>
      <c r="B4" s="93"/>
      <c r="C4" s="93"/>
      <c r="D4" s="93"/>
      <c r="E4" s="93"/>
      <c r="F4" s="93"/>
      <c r="G4" s="93"/>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03" t="s">
        <v>9</v>
      </c>
      <c r="C8" s="104"/>
      <c r="D8" s="104"/>
      <c r="E8" s="104"/>
      <c r="F8" s="104"/>
      <c r="G8" s="105"/>
      <c r="H8" s="1"/>
    </row>
    <row r="9" spans="1:8" x14ac:dyDescent="0.25">
      <c r="A9" s="1"/>
      <c r="B9" s="64" t="s">
        <v>150</v>
      </c>
      <c r="C9" s="65"/>
      <c r="D9" s="65"/>
      <c r="E9" s="65"/>
      <c r="F9" s="66"/>
      <c r="G9" s="136">
        <v>1.3116834495484274E-2</v>
      </c>
      <c r="H9" s="1"/>
    </row>
    <row r="10" spans="1:8" x14ac:dyDescent="0.25">
      <c r="A10" s="1"/>
      <c r="B10" s="51"/>
      <c r="C10" s="52"/>
      <c r="D10" s="52"/>
      <c r="E10" s="52"/>
      <c r="F10" s="52"/>
      <c r="G10" s="19"/>
      <c r="H10" s="1"/>
    </row>
    <row r="11" spans="1:8" ht="15" customHeight="1" x14ac:dyDescent="0.25">
      <c r="A11" s="1"/>
      <c r="B11" s="109" t="s">
        <v>236</v>
      </c>
      <c r="C11" s="110"/>
      <c r="D11" s="110"/>
      <c r="E11" s="110"/>
      <c r="F11" s="110"/>
      <c r="G11" s="111"/>
      <c r="H11" s="1"/>
    </row>
    <row r="12" spans="1:8" ht="13.5" customHeight="1" x14ac:dyDescent="0.25">
      <c r="A12" s="1"/>
      <c r="B12" s="112"/>
      <c r="C12" s="113"/>
      <c r="D12" s="113"/>
      <c r="E12" s="113"/>
      <c r="F12" s="113"/>
      <c r="G12" s="114"/>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row r="50" spans="1:8" x14ac:dyDescent="0.25">
      <c r="A50" s="1"/>
      <c r="B50" s="1"/>
      <c r="C50" s="1"/>
      <c r="D50" s="1"/>
      <c r="E50" s="1"/>
      <c r="F50" s="1"/>
      <c r="G50" s="1"/>
      <c r="H50" s="1"/>
    </row>
  </sheetData>
  <sheetProtection algorithmName="SHA-512" hashValue="b/zOwhdeI7ScxS+J1RjuhJbh/7fFf7ixlbnCWmbAOA9bMUukOh4lbVcbQ+jEaxn50j+xPy6p5pYR+CBhrhPpMw==" saltValue="B9PZxZv3Mseu6kuttUaAwQ==" spinCount="100000" sheet="1" objects="1" scenarios="1"/>
  <mergeCells count="3">
    <mergeCell ref="B3:G4"/>
    <mergeCell ref="B8:G8"/>
    <mergeCell ref="B11:G12"/>
  </mergeCells>
  <conditionalFormatting sqref="G9">
    <cfRule type="containsBlanks" dxfId="0" priority="1">
      <formula>LEN(TRIM(G9))=0</formula>
    </cfRule>
  </conditionalFormatting>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7</vt:i4>
      </vt:variant>
    </vt:vector>
  </HeadingPairs>
  <TitlesOfParts>
    <vt:vector size="25"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Anlægsprojekter (§ 19) </vt:lpstr>
      <vt:lpstr>Fane 10.1. Varige tillæg</vt:lpstr>
      <vt:lpstr>Fane 10.2. Engangstillæg</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2023-08-22T07:59:59Z</dcterms:modified>
</cp:coreProperties>
</file>