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Frederikshavn Vand AS (V057)\ØR2024\"/>
    </mc:Choice>
  </mc:AlternateContent>
  <xr:revisionPtr revIDLastSave="0" documentId="13_ncr:1_{BCC67047-8C94-4C74-8EC6-76D82EC22482}"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iterate="1" iterateCount="1"/>
</workbook>
</file>

<file path=xl/calcChain.xml><?xml version="1.0" encoding="utf-8"?>
<calcChain xmlns="http://schemas.openxmlformats.org/spreadsheetml/2006/main">
  <c r="C34" i="2" l="1"/>
  <c r="C17" i="15" l="1"/>
  <c r="C17" i="22" l="1"/>
  <c r="C29" i="2"/>
  <c r="E23" i="41"/>
  <c r="E27" i="41" l="1"/>
  <c r="E31" i="41"/>
  <c r="E33" i="41" s="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<sst xmlns="http://schemas.openxmlformats.org/spreadsheetml/2006/main" count="556" uniqueCount="267">
  <si>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</si>
  <si>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</si>
  <si>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</si>
  <si>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</si>
  <si>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</si>
  <si>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</si>
  <si>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</si>
  <si>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</si>
  <si>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</si>
  <si>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</si>
  <si>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</si>
  <si>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</si>
  <si>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</si>
  <si>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</si>
  <si>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</si>
  <si>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</si>
  <si>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</si>
  <si>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</si>
  <si>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</si>
  <si>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</si>
  <si>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</si>
  <si>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</si>
  <si>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</si>
  <si>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</si>
  <si>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</si>
  <si>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</si>
  <si>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</si>
  <si>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</si>
  <si>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</si>
  <si>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</si>
  <si>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</si>
  <si>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</si>
  <si>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</si>
  <si>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</si>
  <si>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</si>
  <si>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</si>
  <si>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</si>
  <si>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</si>
  <si>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</si>
  <si>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</si>
  <si>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</si>
  <si>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</si>
  <si>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</si>
  <si>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</si>
  <si>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</si>
  <si>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</si>
  <si>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</si>
  <si>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</si>
  <si>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</si>
  <si>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</si>
  <si>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</si>
  <si>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</si>
  <si>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</si>
  <si>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</si>
  <si>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</si>
  <si>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</si>
  <si>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</si>
  <si>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</si>
  <si>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</si>
  <si>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</si>
  <si>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</si>
  <si>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</si>
  <si>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</si>
  <si>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</si>
  <si>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</si>
  <si>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</si>
  <si>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</si>
  <si>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</si>
  <si>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</si>
  <si>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</si>
  <si>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</si>
  <si>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</si>
  <si>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</si>
  <si>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</si>
  <si>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</si>
  <si>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</si>
  <si>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</si>
  <si>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</si>
  <si>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</si>
  <si>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</si>
  <si>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</si>
  <si>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</si>
  <si>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</si>
  <si>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</si>
  <si>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</si>
  <si>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</si>
  <si>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</si>
  <si>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</si>
  <si>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</si>
  <si>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</si>
  <si>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</si>
  <si>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</si>
  <si>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</si>
  <si>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</si>
  <si>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</si>
  <si>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</si>
  <si>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</si>
  <si>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</si>
  <si>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</si>
  <si>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</si>
  <si>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</si>
  <si>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</si>
  <si>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</si>
  <si>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</si>
  <si>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</si>
  <si>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</si>
  <si>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</si>
  <si>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</si>
  <si>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</si>
  <si>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</si>
  <si>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</si>
  <si>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</si>
  <si>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</si>
  <si>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</si>
  <si>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</si>
  <si>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</si>
  <si>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</si>
  <si>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</si>
  <si>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</si>
  <si>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</si>
  <si>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</si>
  <si>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</si>
  <si>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</si>
  <si>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</si>
  <si>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</si>
  <si>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</si>
  <si>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</si>
  <si>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</si>
  <si>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</si>
  <si>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</si>
  <si>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</si>
  <si>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</si>
  <si>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</si>
  <si>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</si>
  <si>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</si>
  <si>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</si>
  <si>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</si>
  <si>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</si>
  <si>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</si>
  <si>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</si>
  <si>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</si>
  <si>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</si>
  <si>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</si>
  <si>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</si>
  <si>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</si>
  <si>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</si>
  <si>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</si>
  <si>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</si>
  <si>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</si>
  <si>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</si>
  <si>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</si>
  <si>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</si>
  <si>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</si>
  <si>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</si>
  <si>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</si>
  <si>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</si>
  <si>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</si>
  <si>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</si>
  <si>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</si>
  <si>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</si>
  <si>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</si>
  <si>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</si>
  <si>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</si>
  <si>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</si>
  <si>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</si>
  <si>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</si>
  <si>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</si>
  <si>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</si>
  <si>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</si>
  <si>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</si>
  <si>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</si>
  <si>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</si>
  <si>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</si>
  <si>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</si>
  <si>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</si>
  <si>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</si>
  <si>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</si>
  <si>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</si>
  <si>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</si>
  <si>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</si>
  <si>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</si>
  <si>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</si>
  <si>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</si>
  <si>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</si>
  <si>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</si>
  <si>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</si>
  <si>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</si>
  <si>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</si>
  <si>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</si>
  <si>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</si>
  <si>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</si>
  <si>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</si>
  <si>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</si>
  <si>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</si>
  <si>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</si>
  <si>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</si>
  <si>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</si>
  <si>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</si>
  <si>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</si>
  <si>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</si>
  <si>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</si>
  <si>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</si>
  <si>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</si>
  <si>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</si>
  <si>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</si>
  <si>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</si>
  <si>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</si>
  <si>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</si>
  <si>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</si>
  <si>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</si>
  <si>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</si>
  <si>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</si>
  <si>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</si>
  <si>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</si>
  <si>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</si>
  <si>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</si>
  <si>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</si>
  <si>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</si>
  <si>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</si>
  <si>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</si>
  <si>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</si>
  <si>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</si>
  <si>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</si>
  <si>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</si>
  <si>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</si>
  <si>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</si>
  <si>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</si>
  <si>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</si>
  <si>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</si>
  <si>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</si>
  <si>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</si>
  <si>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</si>
  <si>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</si>
  <si>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</si>
  <si>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</si>
  <si>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</si>
  <si>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</si>
  <si>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</si>
  <si>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</si>
  <si>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</si>
  <si>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</si>
  <si>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</si>
  <si>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</si>
  <si>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Udvidelse</t>
  </si>
  <si>
    <t>Ingen engangstillæg</t>
  </si>
  <si>
    <t>Afgift for ledningsført vand</t>
  </si>
  <si>
    <t>Afgift til Forsyningssekretariatet</t>
  </si>
  <si>
    <t>Køb af ydelser og produkter fra andre vandselskaber</t>
  </si>
  <si>
    <t>Ejendomsskat</t>
  </si>
  <si>
    <t>Erstatninger - afgrøder</t>
  </si>
  <si>
    <t>Erstatning - Reetablering</t>
  </si>
  <si>
    <t>Dyrkningspraksis Tolne</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</si>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</sst>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j+eRWEOir/mDGXEtxj2udnRxwjedmsYctcOd/WlC4MHxi0LQJr1sS6ynzwBv57ari224AuIgzmLwoRvfLUXs4w==" saltValue="7GFvUeiWKg7vP/JmPfyZB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8" t="s">
        <v>245</v>
      </c>
      <c r="C10" s="9">
        <v>27103860</v>
      </c>
      <c r="D10" s="14" t="s">
        <v>3</v>
      </c>
      <c r="E10" s="1"/>
      <c r="F10" s="1"/>
    </row>
    <row r="11" spans="1:6" x14ac:dyDescent="0.25">
      <c r="A11" s="1"/>
      <c r="B11" s="68" t="s">
        <v>246</v>
      </c>
      <c r="C11" s="9">
        <v>162117</v>
      </c>
      <c r="D11" s="14" t="s">
        <v>3</v>
      </c>
      <c r="E11" s="1"/>
      <c r="F11" s="1"/>
    </row>
    <row r="12" spans="1:6" x14ac:dyDescent="0.25">
      <c r="A12" s="1"/>
      <c r="B12" s="68" t="s">
        <v>247</v>
      </c>
      <c r="C12" s="9">
        <v>823600</v>
      </c>
      <c r="D12" s="14" t="s">
        <v>3</v>
      </c>
      <c r="E12" s="1"/>
      <c r="F12" s="1"/>
    </row>
    <row r="13" spans="1:6" x14ac:dyDescent="0.25">
      <c r="A13" s="1"/>
      <c r="B13" s="68" t="s">
        <v>248</v>
      </c>
      <c r="C13" s="9">
        <v>88667</v>
      </c>
      <c r="D13" s="14" t="s">
        <v>3</v>
      </c>
      <c r="E13" s="1"/>
      <c r="F13" s="1"/>
    </row>
    <row r="14" spans="1:6" x14ac:dyDescent="0.25">
      <c r="A14" s="1"/>
      <c r="B14" s="68" t="s">
        <v>249</v>
      </c>
      <c r="C14" s="9">
        <v>49955</v>
      </c>
      <c r="D14" s="14" t="s">
        <v>3</v>
      </c>
      <c r="E14" s="1"/>
      <c r="F14" s="1"/>
    </row>
    <row r="15" spans="1:6" x14ac:dyDescent="0.25">
      <c r="A15" s="1"/>
      <c r="B15" s="68" t="s">
        <v>250</v>
      </c>
      <c r="C15" s="9">
        <v>151872</v>
      </c>
      <c r="D15" s="14" t="s">
        <v>3</v>
      </c>
      <c r="E15" s="1"/>
      <c r="F15" s="1"/>
    </row>
    <row r="16" spans="1:6" x14ac:dyDescent="0.25">
      <c r="A16" s="1"/>
      <c r="B16" s="68" t="s">
        <v>250</v>
      </c>
      <c r="C16" s="9">
        <v>17865</v>
      </c>
      <c r="D16" s="14" t="s">
        <v>3</v>
      </c>
      <c r="E16" s="1"/>
      <c r="F16" s="1"/>
    </row>
    <row r="17" spans="1:6" x14ac:dyDescent="0.25">
      <c r="A17" s="1"/>
      <c r="B17" s="68" t="s">
        <v>251</v>
      </c>
      <c r="C17" s="9">
        <v>625000</v>
      </c>
      <c r="D17" s="14" t="s">
        <v>3</v>
      </c>
      <c r="E17" s="1"/>
      <c r="F17" s="1"/>
    </row>
    <row r="18" spans="1:6" x14ac:dyDescent="0.25">
      <c r="A18" s="1"/>
      <c r="B18" s="68"/>
      <c r="C18" s="9"/>
      <c r="D18" s="14" t="s">
        <v>3</v>
      </c>
      <c r="E18" s="1"/>
      <c r="F18" s="1"/>
    </row>
    <row r="19" spans="1:6" x14ac:dyDescent="0.25">
      <c r="A19" s="1"/>
      <c r="B19" s="52" t="s">
        <v>213</v>
      </c>
      <c r="C19" s="12">
        <f>SUM(C10:C18)</f>
        <v>29022936</v>
      </c>
      <c r="D19" s="13" t="s">
        <v>3</v>
      </c>
      <c r="E19" s="1"/>
      <c r="F19" s="1"/>
    </row>
    <row r="20" spans="1:6" x14ac:dyDescent="0.25">
      <c r="A20" s="1"/>
      <c r="B20" s="52" t="s">
        <v>214</v>
      </c>
      <c r="C20" s="12">
        <f>C19*(1+'Fane 13. Nøgletal'!C16)^2</f>
        <v>33902522.758487038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NcAyE7ZV/IHaNYHz7ea9MYTgqStT/6NwKWe4OWxFb+3MbYUz2b967XJmTGy/BMkVEuZd6LzRDvcF8qcwLhZ7ZQ==" saltValue="urpbUvfQYQEa5YmachxSR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04" t="s">
        <v>252</v>
      </c>
      <c r="C8" s="105"/>
      <c r="D8" s="105"/>
      <c r="E8" s="105"/>
      <c r="F8" s="106"/>
      <c r="G8" s="1"/>
    </row>
    <row r="9" spans="1:7" x14ac:dyDescent="0.25">
      <c r="A9" s="1"/>
      <c r="B9" s="98" t="s">
        <v>253</v>
      </c>
      <c r="C9" s="99"/>
      <c r="D9" s="100"/>
      <c r="E9" s="28">
        <v>-4736033.7474770546</v>
      </c>
      <c r="F9" s="14" t="s">
        <v>3</v>
      </c>
      <c r="G9" s="1"/>
    </row>
    <row r="10" spans="1:7" x14ac:dyDescent="0.25">
      <c r="A10" s="1"/>
      <c r="B10" s="52"/>
      <c r="C10" s="53"/>
      <c r="D10" s="53"/>
      <c r="E10" s="53"/>
      <c r="F10" s="19"/>
      <c r="G10" s="1"/>
    </row>
    <row r="11" spans="1:7" ht="57.75" customHeight="1" x14ac:dyDescent="0.25">
      <c r="A11" s="1"/>
      <c r="B11" s="116" t="s">
        <v>254</v>
      </c>
      <c r="C11" s="117"/>
      <c r="D11" s="117"/>
      <c r="E11" s="117"/>
      <c r="F11" s="118"/>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255</v>
      </c>
      <c r="C14" s="99"/>
      <c r="D14" s="100"/>
      <c r="E14" s="9">
        <v>-2368016.8737385273</v>
      </c>
      <c r="F14" s="14" t="s">
        <v>3</v>
      </c>
      <c r="G14" s="1"/>
    </row>
    <row r="15" spans="1:7" x14ac:dyDescent="0.25">
      <c r="A15" s="1"/>
      <c r="B15" s="98" t="s">
        <v>256</v>
      </c>
      <c r="C15" s="99"/>
      <c r="D15" s="100"/>
      <c r="E15" s="9">
        <v>-2368016.8737385273</v>
      </c>
      <c r="F15" s="14" t="s">
        <v>3</v>
      </c>
      <c r="G15" s="1"/>
    </row>
    <row r="16" spans="1:7" x14ac:dyDescent="0.25">
      <c r="A16" s="1"/>
      <c r="B16" s="52"/>
      <c r="C16" s="53"/>
      <c r="D16" s="53"/>
      <c r="E16" s="53"/>
      <c r="F16" s="19"/>
      <c r="G16" s="1"/>
    </row>
    <row r="17" spans="1:7" ht="33" customHeight="1" x14ac:dyDescent="0.25">
      <c r="A17" s="1"/>
      <c r="B17" s="116" t="s">
        <v>257</v>
      </c>
      <c r="C17" s="117"/>
      <c r="D17" s="117"/>
      <c r="E17" s="117"/>
      <c r="F17" s="118"/>
      <c r="G17" s="1"/>
    </row>
    <row r="18" spans="1:7" x14ac:dyDescent="0.25">
      <c r="A18" s="1"/>
      <c r="B18" s="1"/>
      <c r="C18" s="1"/>
      <c r="D18" s="1"/>
      <c r="E18" s="1"/>
      <c r="F18" s="1"/>
      <c r="G18" s="1"/>
    </row>
    <row r="19" spans="1:7" x14ac:dyDescent="0.25">
      <c r="A19" s="1"/>
      <c r="B19" s="62" t="s">
        <v>258</v>
      </c>
      <c r="C19" s="63"/>
      <c r="D19" s="63"/>
      <c r="E19" s="63"/>
      <c r="F19" s="64"/>
      <c r="G19" s="1"/>
    </row>
    <row r="20" spans="1:7" x14ac:dyDescent="0.25">
      <c r="A20" s="1"/>
      <c r="B20" s="65" t="s">
        <v>259</v>
      </c>
      <c r="C20" s="66"/>
      <c r="D20" s="67"/>
      <c r="E20" s="9">
        <v>88760318.100622982</v>
      </c>
      <c r="F20" s="14" t="s">
        <v>3</v>
      </c>
      <c r="G20" s="1"/>
    </row>
    <row r="21" spans="1:7" x14ac:dyDescent="0.25">
      <c r="A21" s="1"/>
      <c r="B21" s="65" t="s">
        <v>260</v>
      </c>
      <c r="C21" s="66"/>
      <c r="D21" s="67"/>
      <c r="E21" s="9">
        <v>87296898</v>
      </c>
      <c r="F21" s="14" t="s">
        <v>3</v>
      </c>
      <c r="G21" s="1"/>
    </row>
    <row r="22" spans="1:7" x14ac:dyDescent="0.25">
      <c r="A22" s="1"/>
      <c r="B22" s="65" t="s">
        <v>29</v>
      </c>
      <c r="C22" s="66"/>
      <c r="D22" s="67"/>
      <c r="E22" s="9">
        <v>0</v>
      </c>
      <c r="F22" s="14" t="s">
        <v>3</v>
      </c>
      <c r="G22" s="1"/>
    </row>
    <row r="23" spans="1:7" x14ac:dyDescent="0.25">
      <c r="A23" s="1"/>
      <c r="B23" s="70" t="s">
        <v>261</v>
      </c>
      <c r="C23" s="71"/>
      <c r="D23" s="72"/>
      <c r="E23" s="10">
        <f>E20-(E21-E22)</f>
        <v>1463420.1006229818</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4" t="s">
        <v>262</v>
      </c>
      <c r="C26" s="105"/>
      <c r="D26" s="105"/>
      <c r="E26" s="105"/>
      <c r="F26" s="106"/>
      <c r="G26" s="1"/>
    </row>
    <row r="27" spans="1:7" x14ac:dyDescent="0.25">
      <c r="A27" s="1"/>
      <c r="B27" s="123" t="s">
        <v>263</v>
      </c>
      <c r="C27" s="124"/>
      <c r="D27" s="125"/>
      <c r="E27" s="59">
        <f>IF(AND(E15&lt;0,E23&gt;0,ABS(SUM(E14:E15))&lt;E23),ABS(E14),IF(AND(E15&lt;0,E23&gt;0,ABS(SUM(E14:E15))&gt;E23),SUM(E14,E23),0))</f>
        <v>-904596.77311554551</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264</v>
      </c>
      <c r="C30" s="105"/>
      <c r="D30" s="105"/>
      <c r="E30" s="105"/>
      <c r="F30" s="106"/>
      <c r="G30" s="1"/>
    </row>
    <row r="31" spans="1:7" x14ac:dyDescent="0.25">
      <c r="A31" s="1"/>
      <c r="B31" s="126" t="s">
        <v>117</v>
      </c>
      <c r="C31" s="127"/>
      <c r="D31" s="128"/>
      <c r="E31" s="60">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9">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OziQBvMBGSWFpYf3tn211TW6iuied8KUIfRy393CL6oMez0LMcNu4bsGG6Z6vSQ+6RUD+DpfC8gcoBNCguFs8Q==" saltValue="1uqL/p6MejL59RN4oGQ5yQ=="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zXThMFKPgyDK+oDhw9CHxxN0X62giw101wJ/hhKOVHIe7Ldpa1MmxcX8vCoJizW+Uga1jWYog272emv860ULXQ==" saltValue="vtvJTkQa5+C+KANLqKleN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E3wXLKrH+rxf+k99t1bVFBGWNFbjXXnUwqlytvS2NiorCztPRBbYunnIxHOZc/qldHQLr6Rg6B/vHk+PqsTu9w==" saltValue="WwxvTQ5HqPaXCKVl91PSP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299908</v>
      </c>
      <c r="D11" s="14" t="s">
        <v>3</v>
      </c>
      <c r="E11" s="9">
        <v>44215</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299908</v>
      </c>
      <c r="D17" s="13" t="s">
        <v>3</v>
      </c>
      <c r="E17" s="12">
        <f>SUM(E10:E16)</f>
        <v>44215</v>
      </c>
      <c r="F17" s="13" t="s">
        <v>3</v>
      </c>
      <c r="G17" s="1"/>
    </row>
    <row r="18" spans="1:7" x14ac:dyDescent="0.25">
      <c r="A18" s="1"/>
      <c r="B18" s="52" t="s">
        <v>209</v>
      </c>
      <c r="C18" s="12">
        <f>C17*(1+'Fane 13. Nøgletal'!C16)</f>
        <v>324140.56640000001</v>
      </c>
      <c r="D18" s="13" t="s">
        <v>3</v>
      </c>
      <c r="E18" s="12">
        <f>E17*(1+'Fane 13. Nøgletal'!C16)</f>
        <v>47787.572</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Tp+lCMy0vV/SXDV4Lje+CAarE4y033GGfX0AIYnxdztr6Ut20sqI4VuodXZEP5K64MA9IZfcXrITV2DPM6ckqg==" saltValue="vbJQWMWYz0czWRWOfd0lD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3" t="s">
        <v>15</v>
      </c>
      <c r="C10" s="73" t="s">
        <v>10</v>
      </c>
      <c r="D10" s="74"/>
      <c r="E10" s="73" t="s">
        <v>27</v>
      </c>
      <c r="F10" s="30"/>
      <c r="G10" s="1"/>
    </row>
    <row r="11" spans="1:7" x14ac:dyDescent="0.25">
      <c r="A11" s="1"/>
      <c r="B11" s="23" t="s">
        <v>244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MkqMJxN3gPratozt5RlZzm1RtOpaB6vXlp8mh8q0ICGNn8JZGKYciaXy3sdJDCCZ4xjkkaTVvVVk5alxhacgw==" saltValue="JxhTw7NPamvAM14W24DV6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4" t="s">
        <v>105</v>
      </c>
      <c r="C9" s="129" t="s">
        <v>10</v>
      </c>
      <c r="D9" s="131"/>
      <c r="E9" s="129" t="s">
        <v>27</v>
      </c>
      <c r="F9" s="131"/>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4.6"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Qe0E3go/PDskyYXq3mlwmVoMRhY8crNtxRpYMyYKNewqUQeaj9bAWKh2zDXWOwZ6CGpvSxZKTDvt6QOoh6yDw==" saltValue="bZNSBtFFEVtcvV+ikdofN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6.710937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4" t="s">
        <v>237</v>
      </c>
      <c r="C10" s="105"/>
      <c r="D10" s="105"/>
      <c r="E10" s="105"/>
      <c r="F10" s="106"/>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tWOrodMhA5mhqC65DEdTPqb05x94FTStSO1JLZR5CldA+NKL/ZRaA8oV0VxoXS2xVVxUezft6JYPtml7POJwQ==" saltValue="34SBh5+85IWG/OnjLXzqY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cDCFFBvRLNhDGmTQ7z2K0sNbT6fTilOBj2VIQXJ7oz+juWi52l7yPm0iAoTB3Mhm3jmcAQDPpLrzy+bxIv3hXw==" saltValue="5EhgbFLnfHCcn1WGwv9pm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60234977.031176768</v>
      </c>
      <c r="D8" s="8" t="s">
        <v>3</v>
      </c>
      <c r="E8" s="1"/>
    </row>
    <row r="9" spans="1:5" ht="17.100000000000001" customHeight="1" x14ac:dyDescent="0.25">
      <c r="A9" s="1"/>
      <c r="B9" s="24" t="s">
        <v>33</v>
      </c>
      <c r="C9" s="7">
        <f>'Fane 10.1. Varige tillæg'!C18</f>
        <v>324140.56640000001</v>
      </c>
      <c r="D9" s="8" t="s">
        <v>3</v>
      </c>
      <c r="E9" s="1"/>
    </row>
    <row r="10" spans="1:5" ht="17.100000000000001" customHeight="1" x14ac:dyDescent="0.25">
      <c r="A10" s="1"/>
      <c r="B10" s="24" t="s">
        <v>34</v>
      </c>
      <c r="C10" s="9">
        <f>'Fane 10.1. Varige tillæg'!E18</f>
        <v>47787.572</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2174416.9758926132</v>
      </c>
      <c r="D15" s="8" t="s">
        <v>3</v>
      </c>
      <c r="E15" s="1"/>
    </row>
    <row r="16" spans="1:5" ht="17.100000000000001" customHeight="1" x14ac:dyDescent="0.25">
      <c r="A16" s="1"/>
      <c r="B16" s="24" t="s">
        <v>9</v>
      </c>
      <c r="C16" s="9">
        <f>-SUM(C8,C9:C15)*'Fane 5. Individuelt eff. krav'!G9</f>
        <v>-1255626.4429093876</v>
      </c>
      <c r="D16" s="8" t="s">
        <v>3</v>
      </c>
      <c r="E16" s="1"/>
    </row>
    <row r="17" spans="1:5" ht="17.100000000000001" customHeight="1" x14ac:dyDescent="0.25">
      <c r="A17" s="1"/>
      <c r="B17" s="24" t="s">
        <v>22</v>
      </c>
      <c r="C17" s="9">
        <f>-'Fane 4.1. Gen. krav - drift'!G49</f>
        <v>-602786.60853714659</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60922909.09402284</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33902522.758487038</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10">
        <f>SUM(C23:C26)</f>
        <v>0</v>
      </c>
      <c r="D27" s="11" t="s">
        <v>3</v>
      </c>
      <c r="E27" s="1"/>
    </row>
    <row r="28" spans="1:5" ht="15" customHeight="1" x14ac:dyDescent="0.25">
      <c r="A28" s="1"/>
      <c r="B28" s="26" t="s">
        <v>117</v>
      </c>
      <c r="C28" s="53"/>
      <c r="D28" s="19"/>
      <c r="E28" s="1"/>
    </row>
    <row r="29" spans="1:5" x14ac:dyDescent="0.25">
      <c r="A29" s="1"/>
      <c r="B29" s="69" t="s">
        <v>118</v>
      </c>
      <c r="C29" s="10">
        <f>'Fane 7. Kontrol af ØR2022'!E27</f>
        <v>-904596.77311554551</v>
      </c>
      <c r="D29" s="11" t="s">
        <v>3</v>
      </c>
      <c r="E29" s="1"/>
    </row>
    <row r="30" spans="1:5" x14ac:dyDescent="0.25">
      <c r="A30" s="1"/>
      <c r="B30" s="26" t="s">
        <v>138</v>
      </c>
      <c r="C30" s="53"/>
      <c r="D30" s="19"/>
      <c r="E30" s="1"/>
    </row>
    <row r="31" spans="1:5" x14ac:dyDescent="0.25">
      <c r="A31" s="1"/>
      <c r="B31" s="69" t="s">
        <v>139</v>
      </c>
      <c r="C31" s="10">
        <f>'Fane 8. Skattesagen'!G13</f>
        <v>0</v>
      </c>
      <c r="D31" s="11" t="s">
        <v>3</v>
      </c>
      <c r="E31" s="1"/>
    </row>
    <row r="32" spans="1:5" x14ac:dyDescent="0.25">
      <c r="A32" s="1"/>
      <c r="B32" s="26" t="s">
        <v>265</v>
      </c>
      <c r="C32" s="53"/>
      <c r="D32" s="19"/>
      <c r="E32" s="1"/>
    </row>
    <row r="33" spans="1:5" x14ac:dyDescent="0.25">
      <c r="A33" s="1"/>
      <c r="B33" s="69" t="s">
        <v>266</v>
      </c>
      <c r="C33" s="10">
        <v>3916390.1213499587</v>
      </c>
      <c r="D33" s="11" t="s">
        <v>3</v>
      </c>
      <c r="E33" s="1"/>
    </row>
    <row r="34" spans="1:5" x14ac:dyDescent="0.25">
      <c r="A34" s="1"/>
      <c r="B34" s="52" t="s">
        <v>126</v>
      </c>
      <c r="C34" s="33">
        <f>SUM(C19,C21,C27,C29,C31,C33)</f>
        <v>97837225.200744301</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lDFCbUXrvpYBbODoqM14MY3lmBF+fQEsjkk4eN1PgIwQEcgHj9a/XEvydmIpQ8OKr6rMeqhGpG9Fj0k5phqh6Q==" saltValue="t81FFMiVv9e3cEJx7J/nT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 style="2" customWidth="1"/>
    <col min="3" max="3" width="11.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60922909.09402284</v>
      </c>
      <c r="D8" s="8" t="s">
        <v>3</v>
      </c>
      <c r="E8" s="1"/>
    </row>
    <row r="9" spans="1:5" ht="15" customHeight="1" x14ac:dyDescent="0.25">
      <c r="A9" s="1"/>
      <c r="B9" s="29" t="s">
        <v>17</v>
      </c>
      <c r="C9" s="9">
        <f>SUM(C8:C8)*'Fane 13. Nøgletal'!C16</f>
        <v>4922571.054797045</v>
      </c>
      <c r="D9" s="8" t="s">
        <v>3</v>
      </c>
      <c r="E9" s="1"/>
    </row>
    <row r="10" spans="1:5" ht="15" customHeight="1" x14ac:dyDescent="0.25">
      <c r="A10" s="1"/>
      <c r="B10" s="29" t="s">
        <v>9</v>
      </c>
      <c r="C10" s="9">
        <f>-SUM(C8:C9)*'Fane 5. Individuelt eff. krav'!G9</f>
        <v>-1316909.6029763978</v>
      </c>
      <c r="D10" s="8" t="s">
        <v>3</v>
      </c>
      <c r="E10" s="1"/>
    </row>
    <row r="11" spans="1:5" ht="15" customHeight="1" x14ac:dyDescent="0.25">
      <c r="A11" s="1"/>
      <c r="B11" s="29" t="s">
        <v>22</v>
      </c>
      <c r="C11" s="9">
        <f>-'Fane 4.1. Gen. krav - drift'!G54</f>
        <v>-638461.93117680913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63890108.614666678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36641846.597372793</v>
      </c>
      <c r="D15" s="11" t="s">
        <v>3</v>
      </c>
      <c r="E15" s="1"/>
    </row>
    <row r="16" spans="1:5" x14ac:dyDescent="0.25">
      <c r="A16" s="1"/>
      <c r="B16" s="26" t="s">
        <v>117</v>
      </c>
      <c r="C16" s="53"/>
      <c r="D16" s="19"/>
      <c r="E16" s="1"/>
    </row>
    <row r="17" spans="1:5" ht="15" customHeight="1" x14ac:dyDescent="0.25">
      <c r="A17" s="1"/>
      <c r="B17" s="69" t="s">
        <v>118</v>
      </c>
      <c r="C17" s="10">
        <f>'Fane 7. Kontrol af ØR2022'!E33</f>
        <v>0</v>
      </c>
      <c r="D17" s="11" t="s">
        <v>3</v>
      </c>
      <c r="E17" s="1"/>
    </row>
    <row r="18" spans="1:5" x14ac:dyDescent="0.25">
      <c r="A18" s="1"/>
      <c r="B18" s="26" t="s">
        <v>138</v>
      </c>
      <c r="C18" s="53"/>
      <c r="D18" s="19"/>
      <c r="E18" s="1"/>
    </row>
    <row r="19" spans="1:5" x14ac:dyDescent="0.25">
      <c r="A19" s="1"/>
      <c r="B19" s="69" t="s">
        <v>139</v>
      </c>
      <c r="C19" s="10">
        <f>'Fane 8. Skattesagen'!G13</f>
        <v>0</v>
      </c>
      <c r="D19" s="11" t="s">
        <v>3</v>
      </c>
      <c r="E19" s="1"/>
    </row>
    <row r="20" spans="1:5" x14ac:dyDescent="0.25">
      <c r="A20" s="1"/>
      <c r="B20" s="52" t="s">
        <v>128</v>
      </c>
      <c r="C20" s="12">
        <f>SUM(C13,C15,C17,C19)</f>
        <v>100531955.21203947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lBATIqOT/h51DMjlPGKLlzc3rlw/u2NNAqwAI+FASKIeL6iQlZum/a0RFKb6gKLizDhJwS8JKt4aak8/TwWEg==" saltValue="1F/Y4TA1YLBozq62dnvo2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1.85546875" style="2" customWidth="1"/>
    <col min="3" max="3" width="10.5703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63890108.614666678</v>
      </c>
      <c r="D8" s="8" t="s">
        <v>3</v>
      </c>
      <c r="E8" s="1"/>
    </row>
    <row r="9" spans="1:5" ht="15" customHeight="1" x14ac:dyDescent="0.25">
      <c r="A9" s="1"/>
      <c r="B9" s="29" t="s">
        <v>17</v>
      </c>
      <c r="C9" s="9">
        <f>SUM(C8:C8)*'Fane 13. Nøgletal'!C16</f>
        <v>5162320.7760650674</v>
      </c>
      <c r="D9" s="8" t="s">
        <v>3</v>
      </c>
      <c r="E9" s="1"/>
    </row>
    <row r="10" spans="1:5" ht="15" customHeight="1" x14ac:dyDescent="0.25">
      <c r="A10" s="1"/>
      <c r="B10" s="29" t="s">
        <v>9</v>
      </c>
      <c r="C10" s="9">
        <f>-SUM(C8:C9)*'Fane 5. Individuelt eff. krav'!G9</f>
        <v>-1381048.5878146351</v>
      </c>
      <c r="D10" s="8" t="s">
        <v>3</v>
      </c>
      <c r="E10" s="1"/>
    </row>
    <row r="11" spans="1:5" ht="15" customHeight="1" x14ac:dyDescent="0.25">
      <c r="A11" s="1"/>
      <c r="B11" s="29" t="s">
        <v>22</v>
      </c>
      <c r="C11" s="9">
        <f>-'Fane 4.1. Gen. krav - drift'!G59</f>
        <v>-676248.66211157746</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66995132.140805542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39602507.802440509</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69" t="s">
        <v>139</v>
      </c>
      <c r="C19" s="10">
        <f>'Fane 8. Skattesagen'!G14</f>
        <v>0</v>
      </c>
      <c r="D19" s="11" t="s">
        <v>3</v>
      </c>
      <c r="E19" s="1"/>
    </row>
    <row r="20" spans="1:5" x14ac:dyDescent="0.25">
      <c r="A20" s="1"/>
      <c r="B20" s="52" t="s">
        <v>143</v>
      </c>
      <c r="C20" s="12">
        <f>SUM(C13,C15,C17,C19)</f>
        <v>106597639.94324605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JOBtNWdz+NaXX2hQ0AkdZ5DNyJ1S0zHMKdXN058impUwiOkHZCJd+JAHIdvrMyTKVsEmYAhgJIROdSvyV2wAg==" saltValue="o9NN1b7+nd2+SSuZAq/0Y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2.140625" style="2" customWidth="1"/>
    <col min="3" max="3" width="10.5703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66995132.140805542</v>
      </c>
      <c r="D8" s="8" t="s">
        <v>3</v>
      </c>
      <c r="E8" s="1"/>
    </row>
    <row r="9" spans="1:5" ht="15" customHeight="1" x14ac:dyDescent="0.25">
      <c r="A9" s="1"/>
      <c r="B9" s="29" t="s">
        <v>17</v>
      </c>
      <c r="C9" s="9">
        <f>SUM(C8:C8)*'Fane 13. Nøgletal'!C16</f>
        <v>5413206.6769770877</v>
      </c>
      <c r="D9" s="8" t="s">
        <v>3</v>
      </c>
      <c r="E9" s="1"/>
    </row>
    <row r="10" spans="1:5" ht="15" customHeight="1" x14ac:dyDescent="0.25">
      <c r="A10" s="1"/>
      <c r="B10" s="29" t="s">
        <v>9</v>
      </c>
      <c r="C10" s="9">
        <f>-SUM(C8:C9)*'Fane 5. Individuelt eff. krav'!G9</f>
        <v>-1448166.7763556526</v>
      </c>
      <c r="D10" s="8" t="s">
        <v>3</v>
      </c>
      <c r="E10" s="1"/>
    </row>
    <row r="11" spans="1:5" ht="15" customHeight="1" x14ac:dyDescent="0.25">
      <c r="A11" s="1"/>
      <c r="B11" s="29" t="s">
        <v>22</v>
      </c>
      <c r="C11" s="9">
        <f>-'Fane 4.1. Gen. krav - drift'!G64</f>
        <v>-716271.76292998891</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70243900.278496981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42802390.432877705</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69" t="s">
        <v>139</v>
      </c>
      <c r="C19" s="10">
        <f>'Fane 8. Skattesagen'!G15</f>
        <v>0</v>
      </c>
      <c r="D19" s="11" t="s">
        <v>3</v>
      </c>
      <c r="E19" s="1"/>
    </row>
    <row r="20" spans="1:5" x14ac:dyDescent="0.25">
      <c r="A20" s="1"/>
      <c r="B20" s="52" t="s">
        <v>205</v>
      </c>
      <c r="C20" s="12">
        <f>SUM(C13,C15,C17,C19)</f>
        <v>113046290.71137469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9jnZFM3aIA8DlBRtDmAwHEzZ2RmCiCI+jpVK/klHGF6tqu6Bbta895H+K8ne3dkKCMWZLHyEaMkLghoHIaaew==" saltValue="F1e2dBaQxrMEp2eVS82TG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59424177.786569335</v>
      </c>
      <c r="D8" s="8" t="s">
        <v>3</v>
      </c>
      <c r="E8" s="1"/>
    </row>
    <row r="9" spans="1:5" x14ac:dyDescent="0.25">
      <c r="A9" s="1"/>
      <c r="B9" s="24" t="s">
        <v>33</v>
      </c>
      <c r="C9" s="7">
        <v>392276.9952</v>
      </c>
      <c r="D9" s="8" t="s">
        <v>3</v>
      </c>
      <c r="E9" s="1"/>
    </row>
    <row r="10" spans="1:5" x14ac:dyDescent="0.25">
      <c r="A10" s="1"/>
      <c r="B10" s="24" t="s">
        <v>34</v>
      </c>
      <c r="C10" s="9">
        <v>113327.7792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2133500.2591705085</v>
      </c>
      <c r="D15" s="8" t="s">
        <v>3</v>
      </c>
      <c r="E15" s="1"/>
    </row>
    <row r="16" spans="1:5" x14ac:dyDescent="0.25">
      <c r="A16" s="1"/>
      <c r="B16" s="24" t="s">
        <v>9</v>
      </c>
      <c r="C16" s="9">
        <v>-1241265.656402797</v>
      </c>
      <c r="D16" s="8" t="s">
        <v>3</v>
      </c>
      <c r="E16" s="1"/>
    </row>
    <row r="17" spans="1:5" x14ac:dyDescent="0.25">
      <c r="A17" s="1"/>
      <c r="B17" s="24" t="s">
        <v>22</v>
      </c>
      <c r="C17" s="9">
        <v>-587040.13256028655</v>
      </c>
      <c r="D17" s="8" t="s">
        <v>3</v>
      </c>
      <c r="E17" s="1"/>
    </row>
    <row r="18" spans="1:5" x14ac:dyDescent="0.25">
      <c r="A18" s="1"/>
      <c r="B18" s="24" t="s">
        <v>23</v>
      </c>
      <c r="C18" s="9">
        <v>0</v>
      </c>
      <c r="D18" s="8" t="s">
        <v>3</v>
      </c>
      <c r="E18" s="1"/>
    </row>
    <row r="19" spans="1:5" x14ac:dyDescent="0.25">
      <c r="A19" s="1"/>
      <c r="B19" s="70" t="s">
        <v>19</v>
      </c>
      <c r="C19" s="10">
        <v>60234977.031176768</v>
      </c>
      <c r="D19" s="11" t="s">
        <v>3</v>
      </c>
      <c r="E19" s="1"/>
    </row>
    <row r="20" spans="1:5" x14ac:dyDescent="0.25">
      <c r="A20" s="1"/>
      <c r="B20" s="52" t="s">
        <v>11</v>
      </c>
      <c r="C20" s="53"/>
      <c r="D20" s="19"/>
      <c r="E20" s="1"/>
    </row>
    <row r="21" spans="1:5" x14ac:dyDescent="0.25">
      <c r="A21" s="1"/>
      <c r="B21" s="54" t="s">
        <v>11</v>
      </c>
      <c r="C21" s="10">
        <v>30742558.933315683</v>
      </c>
      <c r="D21" s="11" t="s">
        <v>3</v>
      </c>
      <c r="E21" s="1"/>
    </row>
    <row r="22" spans="1:5" x14ac:dyDescent="0.25">
      <c r="A22" s="1"/>
      <c r="B22" s="52" t="s">
        <v>75</v>
      </c>
      <c r="C22" s="53"/>
      <c r="D22" s="19"/>
      <c r="E22" s="1"/>
    </row>
    <row r="23" spans="1:5" x14ac:dyDescent="0.25">
      <c r="A23" s="1"/>
      <c r="B23" s="24" t="s">
        <v>71</v>
      </c>
      <c r="C23" s="9">
        <v>1665473.1721689601</v>
      </c>
      <c r="D23" s="8" t="s">
        <v>3</v>
      </c>
      <c r="E23" s="1"/>
    </row>
    <row r="24" spans="1:5" x14ac:dyDescent="0.25">
      <c r="A24" s="1"/>
      <c r="B24" s="24" t="s">
        <v>72</v>
      </c>
      <c r="C24" s="9">
        <v>0</v>
      </c>
      <c r="D24" s="8" t="s">
        <v>3</v>
      </c>
      <c r="E24" s="1"/>
    </row>
    <row r="25" spans="1:5" x14ac:dyDescent="0.25">
      <c r="A25" s="1"/>
      <c r="B25" s="24" t="s">
        <v>164</v>
      </c>
      <c r="C25" s="9">
        <v>-66618.926886758403</v>
      </c>
      <c r="D25" s="8" t="s">
        <v>3</v>
      </c>
      <c r="E25" s="1"/>
    </row>
    <row r="26" spans="1:5" x14ac:dyDescent="0.25">
      <c r="A26" s="1"/>
      <c r="B26" s="24" t="s">
        <v>165</v>
      </c>
      <c r="C26" s="9">
        <v>0</v>
      </c>
      <c r="D26" s="8" t="s">
        <v>3</v>
      </c>
      <c r="E26" s="1"/>
    </row>
    <row r="27" spans="1:5" x14ac:dyDescent="0.25">
      <c r="A27" s="1"/>
      <c r="B27" s="70" t="s">
        <v>76</v>
      </c>
      <c r="C27" s="57">
        <v>1598854.2452822018</v>
      </c>
      <c r="D27" s="11" t="s">
        <v>3</v>
      </c>
      <c r="E27" s="1"/>
    </row>
    <row r="28" spans="1:5" x14ac:dyDescent="0.25">
      <c r="A28" s="1"/>
      <c r="B28" s="26" t="s">
        <v>117</v>
      </c>
      <c r="C28" s="53"/>
      <c r="D28" s="19"/>
      <c r="E28" s="1"/>
    </row>
    <row r="29" spans="1:5" x14ac:dyDescent="0.25">
      <c r="A29" s="1"/>
      <c r="B29" s="69" t="s">
        <v>118</v>
      </c>
      <c r="C29" s="10">
        <v>-2368016.8737385273</v>
      </c>
      <c r="D29" s="11" t="s">
        <v>3</v>
      </c>
      <c r="E29" s="1"/>
    </row>
    <row r="30" spans="1:5" x14ac:dyDescent="0.25">
      <c r="A30" s="1"/>
      <c r="B30" s="26" t="s">
        <v>138</v>
      </c>
      <c r="C30" s="53"/>
      <c r="D30" s="19"/>
      <c r="E30" s="1"/>
    </row>
    <row r="31" spans="1:5" x14ac:dyDescent="0.25">
      <c r="A31" s="1"/>
      <c r="B31" s="69" t="s">
        <v>139</v>
      </c>
      <c r="C31" s="10">
        <v>0</v>
      </c>
      <c r="D31" s="11" t="s">
        <v>3</v>
      </c>
      <c r="E31" s="1"/>
    </row>
    <row r="32" spans="1:5" x14ac:dyDescent="0.25">
      <c r="A32" s="1"/>
      <c r="B32" s="52" t="s">
        <v>239</v>
      </c>
      <c r="C32" s="33">
        <v>90208373.336036131</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iTiQdtu0JbxsL9vE6onmdFN+/QXfPj1Zr7T98eC1U88qJ94E6SNOlk+Shb23HwFWVcI5cZ9Wg02zpmhU0r5X4g==" saltValue="t9MtrxeKPlqYcbxoAh6Qc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26927128.40936387</v>
      </c>
      <c r="H5" s="14" t="s">
        <v>3</v>
      </c>
      <c r="I5" s="1"/>
    </row>
    <row r="6" spans="1:9" x14ac:dyDescent="0.25">
      <c r="A6" s="1"/>
      <c r="B6" s="98" t="s">
        <v>37</v>
      </c>
      <c r="C6" s="99"/>
      <c r="D6" s="99"/>
      <c r="E6" s="99"/>
      <c r="F6" s="100"/>
      <c r="G6" s="22">
        <f>G5*'Fane 13. Nøgletal'!C33</f>
        <v>538542.56818727741</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26723720.881359532</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534474.41762719071</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26631844.728969418</v>
      </c>
      <c r="H16" s="14" t="s">
        <v>3</v>
      </c>
      <c r="I16" s="1"/>
    </row>
    <row r="17" spans="1:9" x14ac:dyDescent="0.25">
      <c r="A17" s="1"/>
      <c r="B17" s="98" t="s">
        <v>100</v>
      </c>
      <c r="C17" s="99"/>
      <c r="D17" s="99"/>
      <c r="E17" s="99"/>
      <c r="F17" s="100"/>
      <c r="G17" s="47">
        <v>-678105.39352235082</v>
      </c>
      <c r="H17" s="14" t="s">
        <v>3</v>
      </c>
      <c r="I17" s="1"/>
    </row>
    <row r="18" spans="1:9" x14ac:dyDescent="0.25">
      <c r="A18" s="1"/>
      <c r="B18" s="101" t="s">
        <v>229</v>
      </c>
      <c r="C18" s="102"/>
      <c r="D18" s="102"/>
      <c r="E18" s="102"/>
      <c r="F18" s="103"/>
      <c r="G18" s="47">
        <v>0</v>
      </c>
      <c r="H18" s="14" t="s">
        <v>3</v>
      </c>
      <c r="I18" s="1"/>
    </row>
    <row r="19" spans="1:9" x14ac:dyDescent="0.25">
      <c r="A19" s="1"/>
      <c r="B19" s="98" t="s">
        <v>41</v>
      </c>
      <c r="C19" s="99"/>
      <c r="D19" s="99"/>
      <c r="E19" s="99"/>
      <c r="F19" s="100"/>
      <c r="G19" s="22">
        <f>SUM(G16:G18)*'Fane 13. Nøgletal'!C33</f>
        <v>519074.78670894133</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25864510.379611798</v>
      </c>
      <c r="H23" s="14" t="s">
        <v>3</v>
      </c>
      <c r="I23" s="1"/>
    </row>
    <row r="24" spans="1:9" x14ac:dyDescent="0.25">
      <c r="A24" s="1"/>
      <c r="B24" s="101" t="s">
        <v>230</v>
      </c>
      <c r="C24" s="102"/>
      <c r="D24" s="102"/>
      <c r="E24" s="102"/>
      <c r="F24" s="103"/>
      <c r="G24" s="47">
        <v>1476515.7244094401</v>
      </c>
      <c r="H24" s="14" t="s">
        <v>3</v>
      </c>
      <c r="I24" s="1"/>
    </row>
    <row r="25" spans="1:9" x14ac:dyDescent="0.25">
      <c r="A25" s="1"/>
      <c r="B25" s="98" t="s">
        <v>43</v>
      </c>
      <c r="C25" s="99"/>
      <c r="D25" s="99"/>
      <c r="E25" s="99"/>
      <c r="F25" s="100"/>
      <c r="G25" s="22">
        <f>(G23+G24)*'Fane 13. Nøgletal'!C33</f>
        <v>546820.52208042471</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27121094.890040487</v>
      </c>
      <c r="H29" s="14" t="s">
        <v>3</v>
      </c>
      <c r="I29" s="1"/>
    </row>
    <row r="30" spans="1:9" x14ac:dyDescent="0.25">
      <c r="A30" s="1"/>
      <c r="B30" s="98" t="s">
        <v>231</v>
      </c>
      <c r="C30" s="99"/>
      <c r="D30" s="99"/>
      <c r="E30" s="99"/>
      <c r="F30" s="100"/>
      <c r="G30" s="47">
        <v>427937.65768656001</v>
      </c>
      <c r="H30" s="14" t="s">
        <v>3</v>
      </c>
      <c r="I30" s="1"/>
    </row>
    <row r="31" spans="1:9" x14ac:dyDescent="0.25">
      <c r="A31" s="1"/>
      <c r="B31" s="98" t="s">
        <v>115</v>
      </c>
      <c r="C31" s="99"/>
      <c r="D31" s="99"/>
      <c r="E31" s="99"/>
      <c r="F31" s="100"/>
      <c r="G31" s="22">
        <f>(G29+G30)*'Fane 13. Nøgletal'!C33</f>
        <v>550980.65095454094</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27327428.129913133</v>
      </c>
      <c r="H35" s="14" t="s">
        <v>3</v>
      </c>
      <c r="I35" s="1"/>
    </row>
    <row r="36" spans="1:9" x14ac:dyDescent="0.25">
      <c r="A36" s="1"/>
      <c r="B36" s="98" t="s">
        <v>232</v>
      </c>
      <c r="C36" s="99"/>
      <c r="D36" s="99"/>
      <c r="E36" s="99"/>
      <c r="F36" s="100"/>
      <c r="G36" s="47">
        <v>1193713.6825678602</v>
      </c>
      <c r="H36" s="14" t="s">
        <v>3</v>
      </c>
      <c r="I36" s="1"/>
    </row>
    <row r="37" spans="1:9" x14ac:dyDescent="0.25">
      <c r="A37" s="1"/>
      <c r="B37" s="98" t="s">
        <v>123</v>
      </c>
      <c r="C37" s="99"/>
      <c r="D37" s="99"/>
      <c r="E37" s="99"/>
      <c r="F37" s="100"/>
      <c r="G37" s="22">
        <f>(G35+G36)*'Fane 13. Nøgletal'!C33</f>
        <v>570422.83624961984</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28945764.571785212</v>
      </c>
      <c r="H41" s="14" t="s">
        <v>3</v>
      </c>
      <c r="I41" s="1"/>
    </row>
    <row r="42" spans="1:9" x14ac:dyDescent="0.25">
      <c r="A42" s="1"/>
      <c r="B42" s="98" t="s">
        <v>156</v>
      </c>
      <c r="C42" s="99"/>
      <c r="D42" s="99"/>
      <c r="E42" s="99"/>
      <c r="F42" s="100"/>
      <c r="G42" s="22">
        <v>406242.05622912006</v>
      </c>
      <c r="H42" s="14" t="s">
        <v>3</v>
      </c>
      <c r="I42" s="1"/>
    </row>
    <row r="43" spans="1:9" x14ac:dyDescent="0.25">
      <c r="A43" s="1"/>
      <c r="B43" s="98" t="s">
        <v>166</v>
      </c>
      <c r="C43" s="99"/>
      <c r="D43" s="99"/>
      <c r="E43" s="99"/>
      <c r="F43" s="100"/>
      <c r="G43" s="22">
        <f>(G41+G42)*'Fane 13. Nøgletal'!C33</f>
        <v>587040.13256028655</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29788999.302692208</v>
      </c>
      <c r="H47" s="14" t="s">
        <v>3</v>
      </c>
      <c r="I47" s="1"/>
    </row>
    <row r="48" spans="1:9" x14ac:dyDescent="0.25">
      <c r="A48" s="1"/>
      <c r="B48" s="98" t="s">
        <v>206</v>
      </c>
      <c r="C48" s="99"/>
      <c r="D48" s="99"/>
      <c r="E48" s="99"/>
      <c r="F48" s="100"/>
      <c r="G48" s="22">
        <f>('Fane 2.1. Økonomisk ramme 2024'!C9+'Fane 2.1. Økonomisk ramme 2024'!C11+'Fane 2.1. Økonomisk ramme 2024'!C13)*(1+'Fane 13. Nøgletal'!C16)</f>
        <v>350331.12416512001</v>
      </c>
      <c r="H48" s="14" t="s">
        <v>3</v>
      </c>
      <c r="I48" s="1"/>
    </row>
    <row r="49" spans="1:9" x14ac:dyDescent="0.25">
      <c r="A49" s="1"/>
      <c r="B49" s="98" t="s">
        <v>167</v>
      </c>
      <c r="C49" s="99"/>
      <c r="D49" s="99"/>
      <c r="E49" s="99"/>
      <c r="F49" s="100"/>
      <c r="G49" s="22">
        <f>G47*'Fane 13. Nøgletal'!C33+G48*'Fane 13. Nøgletal'!C33</f>
        <v>602786.60853714659</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31923096.558840454</v>
      </c>
      <c r="H53" s="14" t="s">
        <v>3</v>
      </c>
      <c r="I53" s="1"/>
    </row>
    <row r="54" spans="1:9" x14ac:dyDescent="0.25">
      <c r="A54" s="1"/>
      <c r="B54" s="98" t="s">
        <v>135</v>
      </c>
      <c r="C54" s="99"/>
      <c r="D54" s="99"/>
      <c r="E54" s="99"/>
      <c r="F54" s="100"/>
      <c r="G54" s="22">
        <f>(G53)*'Fane 13. Nøgletal'!C33</f>
        <v>638461.93117680913</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33812433.10557887</v>
      </c>
      <c r="H58" s="14" t="s">
        <v>3</v>
      </c>
      <c r="I58" s="1"/>
    </row>
    <row r="59" spans="1:9" x14ac:dyDescent="0.25">
      <c r="A59" s="1"/>
      <c r="B59" s="98" t="s">
        <v>146</v>
      </c>
      <c r="C59" s="99"/>
      <c r="D59" s="99"/>
      <c r="E59" s="99"/>
      <c r="F59" s="100"/>
      <c r="G59" s="22">
        <f>(G58)*'Fane 13. Nøgletal'!C33</f>
        <v>676248.66211157746</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35813588.146499448</v>
      </c>
      <c r="H63" s="14" t="s">
        <v>3</v>
      </c>
      <c r="I63" s="1"/>
    </row>
    <row r="64" spans="1:9" x14ac:dyDescent="0.25">
      <c r="A64" s="1"/>
      <c r="B64" s="98" t="s">
        <v>222</v>
      </c>
      <c r="C64" s="99"/>
      <c r="D64" s="99"/>
      <c r="E64" s="99"/>
      <c r="F64" s="100"/>
      <c r="G64" s="22">
        <f>(G63)*'Fane 13. Nøgletal'!C33</f>
        <v>716271.76292998891</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bm0+X2Ce/2CmwUpEVvXLwzcwaN3ONBsdI1cZIQLDWMUs/7yZWQGfXKOfwdGSQy4lOkqrXAQNb5A86VgVeGaJ8g==" saltValue="tSMmyJqiMb2Yfs086iTLXQ=="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37470175.350618713</v>
      </c>
      <c r="H5" s="14" t="s">
        <v>3</v>
      </c>
      <c r="I5" s="1"/>
    </row>
    <row r="6" spans="1:9" x14ac:dyDescent="0.25">
      <c r="A6" s="1"/>
      <c r="B6" s="98" t="s">
        <v>49</v>
      </c>
      <c r="C6" s="99"/>
      <c r="D6" s="99"/>
      <c r="E6" s="99"/>
      <c r="F6" s="100"/>
      <c r="G6" s="22">
        <f>G5*'Fane 13. Nøgletal'!C21</f>
        <v>340978.59569063032</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37600737.553715669</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342166.71173881262</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37888240.689206265</v>
      </c>
      <c r="H16" s="14" t="s">
        <v>3</v>
      </c>
      <c r="I16" s="1"/>
    </row>
    <row r="17" spans="1:9" x14ac:dyDescent="0.25">
      <c r="A17" s="1"/>
      <c r="B17" s="98" t="s">
        <v>101</v>
      </c>
      <c r="C17" s="99"/>
      <c r="D17" s="99"/>
      <c r="E17" s="99"/>
      <c r="F17" s="100"/>
      <c r="G17" s="47">
        <v>1370760.2013607777</v>
      </c>
      <c r="H17" s="14" t="s">
        <v>3</v>
      </c>
      <c r="I17" s="1"/>
    </row>
    <row r="18" spans="1:9" x14ac:dyDescent="0.25">
      <c r="A18" s="1"/>
      <c r="B18" s="101" t="s">
        <v>58</v>
      </c>
      <c r="C18" s="102"/>
      <c r="D18" s="102"/>
      <c r="E18" s="102"/>
      <c r="F18" s="103"/>
      <c r="G18" s="47">
        <v>223714.08086739996</v>
      </c>
      <c r="H18" s="14" t="s">
        <v>3</v>
      </c>
      <c r="I18" s="1"/>
    </row>
    <row r="19" spans="1:9" x14ac:dyDescent="0.25">
      <c r="A19" s="1"/>
      <c r="B19" s="98" t="s">
        <v>59</v>
      </c>
      <c r="C19" s="99"/>
      <c r="D19" s="99"/>
      <c r="E19" s="99"/>
      <c r="F19" s="100"/>
      <c r="G19" s="22">
        <f>(G16+G17+G18)*'Fane 13. Nøgletal'!C23</f>
        <v>343499.62025147962</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39800668.090617955</v>
      </c>
      <c r="H23" s="14" t="s">
        <v>3</v>
      </c>
      <c r="I23" s="1"/>
    </row>
    <row r="24" spans="1:9" x14ac:dyDescent="0.25">
      <c r="A24" s="1"/>
      <c r="B24" s="101" t="s">
        <v>62</v>
      </c>
      <c r="C24" s="102"/>
      <c r="D24" s="102"/>
      <c r="E24" s="102"/>
      <c r="F24" s="103"/>
      <c r="G24" s="47">
        <v>410232.0731684076</v>
      </c>
      <c r="H24" s="14" t="s">
        <v>3</v>
      </c>
      <c r="I24" s="1"/>
    </row>
    <row r="25" spans="1:9" x14ac:dyDescent="0.25">
      <c r="A25" s="1"/>
      <c r="B25" s="98" t="s">
        <v>63</v>
      </c>
      <c r="C25" s="99"/>
      <c r="D25" s="99"/>
      <c r="E25" s="99"/>
      <c r="F25" s="100"/>
      <c r="G25" s="22">
        <f>G23*'Fane 13. Nøgletal'!C23+G24*'Fane 13. Nøgletal'!C24</f>
        <v>357916.40326635895</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40339190.162398346</v>
      </c>
      <c r="H29" s="14" t="s">
        <v>3</v>
      </c>
      <c r="I29" s="1"/>
    </row>
    <row r="30" spans="1:9" x14ac:dyDescent="0.25">
      <c r="A30" s="1"/>
      <c r="B30" s="98" t="s">
        <v>113</v>
      </c>
      <c r="C30" s="99"/>
      <c r="D30" s="99"/>
      <c r="E30" s="99"/>
      <c r="F30" s="100"/>
      <c r="G30" s="47">
        <v>371719.63828691997</v>
      </c>
      <c r="H30" s="14" t="s">
        <v>3</v>
      </c>
      <c r="I30" s="1"/>
    </row>
    <row r="31" spans="1:9" x14ac:dyDescent="0.25">
      <c r="A31" s="1"/>
      <c r="B31" s="98" t="s">
        <v>120</v>
      </c>
      <c r="C31" s="99"/>
      <c r="D31" s="99"/>
      <c r="E31" s="99"/>
      <c r="F31" s="100"/>
      <c r="G31" s="22">
        <f>(G29+G30)*'Fane 13. Nøgletal'!C25</f>
        <v>1119550.0195188448</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40074374.370496646</v>
      </c>
      <c r="H35" s="14" t="s">
        <v>3</v>
      </c>
      <c r="I35" s="1"/>
    </row>
    <row r="36" spans="1:9" x14ac:dyDescent="0.25">
      <c r="A36" s="1"/>
      <c r="B36" s="98" t="s">
        <v>129</v>
      </c>
      <c r="C36" s="99"/>
      <c r="D36" s="99"/>
      <c r="E36" s="99"/>
      <c r="F36" s="100"/>
      <c r="G36" s="22">
        <v>36878.196566040009</v>
      </c>
      <c r="H36" s="14" t="s">
        <v>3</v>
      </c>
      <c r="I36" s="1"/>
    </row>
    <row r="37" spans="1:9" x14ac:dyDescent="0.25">
      <c r="A37" s="1"/>
      <c r="B37" s="98" t="s">
        <v>125</v>
      </c>
      <c r="C37" s="99"/>
      <c r="D37" s="99"/>
      <c r="E37" s="99"/>
      <c r="F37" s="100"/>
      <c r="G37" s="22">
        <f>G35*'Fane 13. Nøgletal'!C25+G36*'Fane 13. Nøgletal'!C26</f>
        <v>1102591.0924978352</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40397369.823059365</v>
      </c>
      <c r="H41" s="14" t="s">
        <v>3</v>
      </c>
      <c r="I41" s="1"/>
    </row>
    <row r="42" spans="1:9" x14ac:dyDescent="0.25">
      <c r="A42" s="1"/>
      <c r="B42" s="98" t="s">
        <v>169</v>
      </c>
      <c r="C42" s="99"/>
      <c r="D42" s="99"/>
      <c r="E42" s="99"/>
      <c r="F42" s="100"/>
      <c r="G42" s="9">
        <v>117362.24813952002</v>
      </c>
      <c r="H42" s="14" t="s">
        <v>3</v>
      </c>
      <c r="I42" s="1"/>
    </row>
    <row r="43" spans="1:9" x14ac:dyDescent="0.25">
      <c r="A43" s="1"/>
      <c r="B43" s="98" t="s">
        <v>65</v>
      </c>
      <c r="C43" s="99"/>
      <c r="D43" s="99"/>
      <c r="E43" s="99"/>
      <c r="F43" s="100"/>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41957056.53293357</v>
      </c>
      <c r="H47" s="14" t="s">
        <v>3</v>
      </c>
      <c r="I47" s="1"/>
    </row>
    <row r="48" spans="1:9" x14ac:dyDescent="0.25">
      <c r="A48" s="1"/>
      <c r="B48" s="98" t="s">
        <v>210</v>
      </c>
      <c r="C48" s="99"/>
      <c r="D48" s="99"/>
      <c r="E48" s="99"/>
      <c r="F48" s="100"/>
      <c r="G48" s="22">
        <f>('Fane 2.1. Økonomisk ramme 2024'!C10+'Fane 2.1. Økonomisk ramme 2024'!C12+'Fane 2.1. Økonomisk ramme 2024'!C14)*(1+'Fane 13. Nøgletal'!C16)</f>
        <v>51648.807817599998</v>
      </c>
      <c r="H48" s="14" t="s">
        <v>3</v>
      </c>
      <c r="I48" s="1"/>
    </row>
    <row r="49" spans="1:9" x14ac:dyDescent="0.25">
      <c r="A49" s="1"/>
      <c r="B49" s="98" t="s">
        <v>211</v>
      </c>
      <c r="C49" s="99"/>
      <c r="D49" s="99"/>
      <c r="E49" s="99"/>
      <c r="F49" s="100"/>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45403008.732283868</v>
      </c>
      <c r="H53" s="14" t="s">
        <v>3</v>
      </c>
      <c r="I53" s="1"/>
    </row>
    <row r="54" spans="1:9" x14ac:dyDescent="0.25">
      <c r="A54" s="1"/>
      <c r="B54" s="98" t="s">
        <v>132</v>
      </c>
      <c r="C54" s="99"/>
      <c r="D54" s="99"/>
      <c r="E54" s="99"/>
      <c r="F54" s="100"/>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49071571.837852404</v>
      </c>
      <c r="H58" s="14" t="s">
        <v>3</v>
      </c>
      <c r="I58" s="1"/>
    </row>
    <row r="59" spans="1:9" x14ac:dyDescent="0.25">
      <c r="A59" s="1"/>
      <c r="B59" s="98" t="s">
        <v>149</v>
      </c>
      <c r="C59" s="99"/>
      <c r="D59" s="99"/>
      <c r="E59" s="99"/>
      <c r="F59" s="100"/>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53036554.842350878</v>
      </c>
      <c r="H63" s="14" t="s">
        <v>3</v>
      </c>
      <c r="I63" s="1"/>
    </row>
    <row r="64" spans="1:9" x14ac:dyDescent="0.25">
      <c r="A64" s="1"/>
      <c r="B64" s="98" t="s">
        <v>225</v>
      </c>
      <c r="C64" s="99"/>
      <c r="D64" s="99"/>
      <c r="E64" s="99"/>
      <c r="F64" s="100"/>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0yd9DeeSX96GvBiWULFje+VpYGwWjqK8G7glFcsPX46Kc1UxD8o75EOoi20eLLI7b8LJi+KqlqXFYKcvPR27cw==" saltValue="9MVEt0zasfulJa3OKOtktw=="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5" t="s">
        <v>150</v>
      </c>
      <c r="C9" s="66"/>
      <c r="D9" s="66"/>
      <c r="E9" s="66"/>
      <c r="F9" s="67"/>
      <c r="G9" s="51">
        <v>0.02</v>
      </c>
      <c r="H9" s="1"/>
    </row>
    <row r="10" spans="1:8" x14ac:dyDescent="0.25">
      <c r="A10" s="1"/>
      <c r="B10" s="52"/>
      <c r="C10" s="53"/>
      <c r="D10" s="53"/>
      <c r="E10" s="53"/>
      <c r="F10" s="53"/>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OdxYKxUx4Xq+kV1HH9sPGCmIVhqPgH3ezl9PXNv1L2z8Kvtuf/o3XIxEd4WDHv18dnnOoRdmigROVzOz2dQVqA==" saltValue="2CGaIZA+wQIr1n7UXk5iZ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2023-11-05T12:43:25Z</dcterms:modified>
</cp:coreProperties>
</file>