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ønderslev Vand AS (V03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31" i="27" l="1"/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<sst xmlns="http://schemas.openxmlformats.org/spreadsheetml/2006/main" count="615" uniqueCount="252">
  <si>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</si>
  <si>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</si>
  <si>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</si>
  <si>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</si>
  <si>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</si>
  <si>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</si>
  <si>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</si>
  <si>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</si>
  <si>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</si>
  <si>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</si>
  <si>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</si>
  <si>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</si>
  <si>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</si>
  <si>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</si>
  <si>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</si>
  <si>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</si>
  <si>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</si>
  <si>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</si>
  <si>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</si>
  <si>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</si>
  <si>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</si>
  <si>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</si>
  <si>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</si>
  <si>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</si>
  <si>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</si>
  <si>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</si>
  <si>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</si>
  <si>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</si>
  <si>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</si>
  <si>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</si>
  <si>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</si>
  <si>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</si>
  <si>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</si>
  <si>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</si>
  <si>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</si>
  <si>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</si>
  <si>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</si>
  <si>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</si>
  <si>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</si>
  <si>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</si>
  <si>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</si>
  <si>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</si>
  <si>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</si>
  <si>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</si>
  <si>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</si>
  <si>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</si>
  <si>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</si>
  <si>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</si>
  <si>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</si>
  <si>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</si>
  <si>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</si>
  <si>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</si>
  <si>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</si>
  <si>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</si>
  <si>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</si>
  <si>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</si>
  <si>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</si>
  <si>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</si>
  <si>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</si>
  <si>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</si>
  <si>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</si>
  <si>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</si>
  <si>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</si>
  <si>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</si>
  <si>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</si>
  <si>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</si>
  <si>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</si>
  <si>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</si>
  <si>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</si>
  <si>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</si>
  <si>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</si>
  <si>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</si>
  <si>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</si>
  <si>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</si>
  <si>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</si>
  <si>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</si>
  <si>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</si>
  <si>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</si>
  <si>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</si>
  <si>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</si>
  <si>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</si>
  <si>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</si>
  <si>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</si>
  <si>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</si>
  <si>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</si>
  <si>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</si>
  <si>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</si>
  <si>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</si>
  <si>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</si>
  <si>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</si>
  <si>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</si>
  <si>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</si>
  <si>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</si>
  <si>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</si>
  <si>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</si>
  <si>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</si>
  <si>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</si>
  <si>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</si>
  <si>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</si>
  <si>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</si>
  <si>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</si>
  <si>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</si>
  <si>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</si>
  <si>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</si>
  <si>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</si>
  <si>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</si>
  <si>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</si>
  <si>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</si>
  <si>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</si>
  <si>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</si>
  <si>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</si>
  <si>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</si>
  <si>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</si>
  <si>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</si>
  <si>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</si>
  <si>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</si>
  <si>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</si>
  <si>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</si>
  <si>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</si>
  <si>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</si>
  <si>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</si>
  <si>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</si>
  <si>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</si>
  <si>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</si>
  <si>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</si>
  <si>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</si>
  <si>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</si>
  <si>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</si>
  <si>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</si>
  <si>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</si>
  <si>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</si>
  <si>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</si>
  <si>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</si>
  <si>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</si>
  <si>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</si>
  <si>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</si>
  <si>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</si>
  <si>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</si>
  <si>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</si>
  <si>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</si>
  <si>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</si>
  <si>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</si>
  <si>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</si>
  <si>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</si>
  <si>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</si>
  <si>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</si>
  <si>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</si>
  <si>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</si>
  <si>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</si>
  <si>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</si>
  <si>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</si>
  <si>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</si>
  <si>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</si>
  <si>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</si>
  <si>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</si>
  <si>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</si>
  <si>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</si>
  <si>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</si>
  <si>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</si>
  <si>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</si>
  <si>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</si>
  <si>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</si>
  <si>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</si>
  <si>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</si>
  <si>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</si>
  <si>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</si>
  <si>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</si>
  <si>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</si>
  <si>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</si>
  <si>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</si>
  <si>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</si>
  <si>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</si>
  <si>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</si>
  <si>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</si>
  <si>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</si>
  <si>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</si>
  <si>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</si>
  <si>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</si>
  <si>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</si>
  <si>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</si>
  <si>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</si>
  <si>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</si>
  <si>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</si>
  <si>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</si>
  <si>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</si>
  <si>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</si>
  <si>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</si>
  <si>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</si>
  <si>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</si>
  <si>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</si>
  <si>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</si>
  <si>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</si>
  <si>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</si>
  <si>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</si>
  <si>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</si>
  <si>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</si>
  <si>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</si>
  <si>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</si>
  <si>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</si>
  <si>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</si>
  <si>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</si>
  <si>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</si>
  <si>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</si>
  <si>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</si>
  <si>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</si>
  <si>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</si>
  <si>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</si>
  <si>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</si>
  <si>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</si>
  <si>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</si>
  <si>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</si>
  <si>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</si>
  <si>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</si>
  <si>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</si>
  <si>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</si>
  <si>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</si>
  <si>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</si>
  <si>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</si>
  <si>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</si>
  <si>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</si>
  <si>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</si>
  <si>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</si>
  <si>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</si>
  <si>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</si>
  <si>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</si>
  <si>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</si>
  <si>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</si>
  <si>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</si>
  <si>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</si>
  <si>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Frivillige aftaler om dyrkningspraksis eller andre restriktioner i arealanvendelse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</si>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</sst>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4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251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163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15</v>
      </c>
      <c r="D14" s="81" t="s">
        <v>83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35</v>
      </c>
      <c r="D15" s="81" t="s">
        <v>128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36</v>
      </c>
      <c r="D16" s="81" t="s">
        <v>180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127</v>
      </c>
      <c r="D17" s="81" t="s">
        <v>181</v>
      </c>
      <c r="E17" s="82"/>
      <c r="F17" s="82"/>
      <c r="G17" s="83"/>
      <c r="H17" s="1"/>
      <c r="I17" s="1"/>
    </row>
    <row r="18" spans="1:9" x14ac:dyDescent="0.25">
      <c r="A18" s="1"/>
      <c r="B18" s="1"/>
      <c r="C18" s="32" t="s">
        <v>111</v>
      </c>
      <c r="D18" s="87" t="s">
        <v>100</v>
      </c>
      <c r="E18" s="88"/>
      <c r="F18" s="88"/>
      <c r="G18" s="89"/>
      <c r="H18" s="1"/>
      <c r="I18" s="1"/>
    </row>
    <row r="19" spans="1:9" x14ac:dyDescent="0.25">
      <c r="A19" s="1"/>
      <c r="B19" s="1"/>
      <c r="C19" s="32" t="s">
        <v>112</v>
      </c>
      <c r="D19" s="87" t="s">
        <v>101</v>
      </c>
      <c r="E19" s="88"/>
      <c r="F19" s="88"/>
      <c r="G19" s="89"/>
      <c r="H19" s="1"/>
      <c r="I19" s="1"/>
    </row>
    <row r="20" spans="1:9" x14ac:dyDescent="0.25">
      <c r="A20" s="1"/>
      <c r="B20" s="1"/>
      <c r="C20" s="32" t="s">
        <v>7</v>
      </c>
      <c r="D20" s="87" t="s">
        <v>9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113</v>
      </c>
      <c r="D21" s="78" t="s">
        <v>12</v>
      </c>
      <c r="E21" s="79"/>
      <c r="F21" s="79"/>
      <c r="G21" s="80"/>
      <c r="H21" s="1"/>
      <c r="I21" s="1"/>
    </row>
    <row r="22" spans="1:9" x14ac:dyDescent="0.25">
      <c r="A22" s="1"/>
      <c r="B22" s="1"/>
      <c r="C22" s="6" t="s">
        <v>87</v>
      </c>
      <c r="D22" s="72" t="s">
        <v>182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8</v>
      </c>
      <c r="D23" s="72" t="s">
        <v>37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170</v>
      </c>
      <c r="D24" s="72" t="s">
        <v>88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171</v>
      </c>
      <c r="D25" s="72" t="s">
        <v>89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172</v>
      </c>
      <c r="D26" s="72" t="s">
        <v>129</v>
      </c>
      <c r="E26" s="73"/>
      <c r="F26" s="73"/>
      <c r="G26" s="74"/>
      <c r="H26" s="1"/>
      <c r="I26" s="1"/>
    </row>
    <row r="27" spans="1:9" x14ac:dyDescent="0.25">
      <c r="A27" s="1"/>
      <c r="B27" s="1"/>
      <c r="C27" s="6" t="s">
        <v>114</v>
      </c>
      <c r="D27" s="72" t="s">
        <v>38</v>
      </c>
      <c r="E27" s="73"/>
      <c r="F27" s="73"/>
      <c r="G27" s="74"/>
      <c r="H27" s="1"/>
      <c r="I27" s="1"/>
    </row>
    <row r="28" spans="1:9" x14ac:dyDescent="0.25">
      <c r="A28" s="1"/>
      <c r="B28" s="1"/>
      <c r="C28" s="6" t="s">
        <v>108</v>
      </c>
      <c r="D28" s="75" t="s">
        <v>109</v>
      </c>
      <c r="E28" s="76"/>
      <c r="F28" s="76"/>
      <c r="G28" s="7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bUo+UCxMvOFWzW7O0NNSHOADF8hCNeGspQmtL+8WPtgTlXr1WBdYVx+FcdmvnC9Qdo1w5gPSOhRvsIp0yg4FQ==" saltValue="5vVtBY1YDMSbxrPbYsAAD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3" t="s">
        <v>202</v>
      </c>
      <c r="C8" s="114"/>
      <c r="D8" s="115"/>
      <c r="E8" s="1"/>
      <c r="F8" s="1"/>
    </row>
    <row r="9" spans="1:6" ht="15" customHeight="1" x14ac:dyDescent="0.25">
      <c r="A9" s="1"/>
      <c r="B9" s="52" t="s">
        <v>33</v>
      </c>
      <c r="C9" s="11" t="s">
        <v>203</v>
      </c>
      <c r="D9" s="11"/>
      <c r="E9" s="1"/>
      <c r="F9" s="1"/>
    </row>
    <row r="10" spans="1:6" x14ac:dyDescent="0.25">
      <c r="A10" s="1"/>
      <c r="B10" s="63" t="s">
        <v>227</v>
      </c>
      <c r="C10" s="9">
        <v>5400274</v>
      </c>
      <c r="D10" s="14" t="s">
        <v>3</v>
      </c>
      <c r="E10" s="1"/>
      <c r="F10" s="1"/>
    </row>
    <row r="11" spans="1:6" x14ac:dyDescent="0.25">
      <c r="A11" s="1"/>
      <c r="B11" s="63" t="s">
        <v>228</v>
      </c>
      <c r="C11" s="9">
        <v>54499</v>
      </c>
      <c r="D11" s="14" t="s">
        <v>3</v>
      </c>
      <c r="E11" s="1"/>
      <c r="F11" s="1"/>
    </row>
    <row r="12" spans="1:6" ht="30.75" customHeight="1" x14ac:dyDescent="0.25">
      <c r="A12" s="1"/>
      <c r="B12" s="71" t="s">
        <v>229</v>
      </c>
      <c r="C12" s="9">
        <v>7078862</v>
      </c>
      <c r="D12" s="14" t="s">
        <v>3</v>
      </c>
      <c r="E12" s="1"/>
      <c r="F12" s="1"/>
    </row>
    <row r="13" spans="1:6" x14ac:dyDescent="0.25">
      <c r="A13" s="1"/>
      <c r="B13" s="55" t="s">
        <v>204</v>
      </c>
      <c r="C13" s="12">
        <f>SUM(C10:C12)</f>
        <v>12533635</v>
      </c>
      <c r="D13" s="13" t="s">
        <v>3</v>
      </c>
      <c r="E13" s="1"/>
      <c r="F13" s="1"/>
    </row>
    <row r="14" spans="1:6" x14ac:dyDescent="0.25">
      <c r="A14" s="1"/>
      <c r="B14" s="55" t="s">
        <v>205</v>
      </c>
      <c r="C14" s="12">
        <f>C13*(1+'Fane 12. Nøgletal'!C14)^2</f>
        <v>12616493.482285151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Bm7jQU9YNF7qBySw4NRyIRY+ySvuw8C/3KrLiVRgb09nenbn3r3sq42rLVsvumw7NKun1aKNXs3s65TptQBhZQ==" saltValue="leNiwpOEcrOqkI+A/KpJg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8" t="s">
        <v>220</v>
      </c>
      <c r="C3" s="98"/>
      <c r="D3" s="98"/>
      <c r="E3" s="98"/>
      <c r="F3" s="98"/>
      <c r="G3" s="1"/>
    </row>
    <row r="4" spans="1:7" ht="15" customHeight="1" x14ac:dyDescent="0.25">
      <c r="A4" s="1"/>
      <c r="B4" s="98"/>
      <c r="C4" s="98"/>
      <c r="D4" s="98"/>
      <c r="E4" s="98"/>
      <c r="F4" s="9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231</v>
      </c>
      <c r="C8" s="114"/>
      <c r="D8" s="114"/>
      <c r="E8" s="114"/>
      <c r="F8" s="115"/>
      <c r="G8" s="1"/>
    </row>
    <row r="9" spans="1:7" x14ac:dyDescent="0.25">
      <c r="A9" s="1"/>
      <c r="B9" s="116" t="s">
        <v>232</v>
      </c>
      <c r="C9" s="117"/>
      <c r="D9" s="118"/>
      <c r="E9" s="9">
        <v>1622728.8879189603</v>
      </c>
      <c r="F9" s="14" t="s">
        <v>3</v>
      </c>
      <c r="G9" s="1"/>
    </row>
    <row r="10" spans="1:7" x14ac:dyDescent="0.25">
      <c r="A10" s="1"/>
      <c r="B10" s="116" t="s">
        <v>233</v>
      </c>
      <c r="C10" s="117"/>
      <c r="D10" s="118"/>
      <c r="E10" s="9">
        <v>-366341.09546044841</v>
      </c>
      <c r="F10" s="14" t="s">
        <v>3</v>
      </c>
      <c r="G10" s="1"/>
    </row>
    <row r="11" spans="1:7" x14ac:dyDescent="0.25">
      <c r="A11" s="1"/>
      <c r="B11" s="116" t="s">
        <v>234</v>
      </c>
      <c r="C11" s="117"/>
      <c r="D11" s="118"/>
      <c r="E11" s="9">
        <v>999215.05937959999</v>
      </c>
      <c r="F11" s="14" t="s">
        <v>3</v>
      </c>
      <c r="G11" s="1"/>
    </row>
    <row r="12" spans="1:7" x14ac:dyDescent="0.25">
      <c r="A12" s="1"/>
      <c r="B12" s="116" t="s">
        <v>235</v>
      </c>
      <c r="C12" s="117"/>
      <c r="D12" s="118"/>
      <c r="E12" s="9">
        <f>IF(OR(AND(E10&gt;0,E11&lt;0),AND(E11&lt;0,E34&gt;0)),E17+E18,E11)</f>
        <v>999215.05937959999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102" t="s">
        <v>236</v>
      </c>
      <c r="C14" s="103"/>
      <c r="D14" s="103"/>
      <c r="E14" s="103"/>
      <c r="F14" s="104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237</v>
      </c>
      <c r="C16" s="114"/>
      <c r="D16" s="114"/>
      <c r="E16" s="114"/>
      <c r="F16" s="115"/>
      <c r="G16" s="1"/>
    </row>
    <row r="17" spans="1:7" x14ac:dyDescent="0.25">
      <c r="A17" s="1"/>
      <c r="B17" s="116" t="s">
        <v>238</v>
      </c>
      <c r="C17" s="117"/>
      <c r="D17" s="118"/>
      <c r="E17" s="9">
        <v>-183170.54773022421</v>
      </c>
      <c r="F17" s="14" t="s">
        <v>3</v>
      </c>
      <c r="G17" s="1"/>
    </row>
    <row r="18" spans="1:7" x14ac:dyDescent="0.25">
      <c r="A18" s="1"/>
      <c r="B18" s="116" t="s">
        <v>239</v>
      </c>
      <c r="C18" s="117"/>
      <c r="D18" s="118"/>
      <c r="E18" s="9">
        <v>-183170.54773022421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102" t="s">
        <v>240</v>
      </c>
      <c r="C20" s="103"/>
      <c r="D20" s="103"/>
      <c r="E20" s="103"/>
      <c r="F20" s="10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206</v>
      </c>
      <c r="C22" s="58"/>
      <c r="D22" s="58"/>
      <c r="E22" s="58"/>
      <c r="F22" s="59"/>
      <c r="G22" s="1"/>
    </row>
    <row r="23" spans="1:7" x14ac:dyDescent="0.25">
      <c r="A23" s="1"/>
      <c r="B23" s="60" t="s">
        <v>207</v>
      </c>
      <c r="C23" s="61"/>
      <c r="D23" s="62"/>
      <c r="E23" s="9">
        <v>18164913.080021441</v>
      </c>
      <c r="F23" s="14" t="s">
        <v>3</v>
      </c>
      <c r="G23" s="1"/>
    </row>
    <row r="24" spans="1:7" x14ac:dyDescent="0.25">
      <c r="A24" s="1"/>
      <c r="B24" s="60" t="s">
        <v>208</v>
      </c>
      <c r="C24" s="61"/>
      <c r="D24" s="62"/>
      <c r="E24" s="9">
        <v>16361518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248</v>
      </c>
      <c r="C26" s="65"/>
      <c r="D26" s="66"/>
      <c r="E26" s="45">
        <f>E23-(E24-E25)</f>
        <v>1803395.080021441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3" t="s">
        <v>241</v>
      </c>
      <c r="C29" s="114"/>
      <c r="D29" s="114"/>
      <c r="E29" s="114"/>
      <c r="F29" s="115"/>
      <c r="G29" s="1"/>
    </row>
    <row r="30" spans="1:7" x14ac:dyDescent="0.25">
      <c r="A30" s="1"/>
      <c r="B30" s="134" t="s">
        <v>242</v>
      </c>
      <c r="C30" s="135"/>
      <c r="D30" s="136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183170.54773022421</v>
      </c>
      <c r="F30" s="17" t="s">
        <v>3</v>
      </c>
      <c r="G30" s="1"/>
    </row>
    <row r="31" spans="1:7" x14ac:dyDescent="0.25">
      <c r="A31" s="1"/>
      <c r="B31" s="113"/>
      <c r="C31" s="114"/>
      <c r="D31" s="114"/>
      <c r="E31" s="114"/>
      <c r="F31" s="115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3" t="s">
        <v>243</v>
      </c>
      <c r="C33" s="114"/>
      <c r="D33" s="114"/>
      <c r="E33" s="114"/>
      <c r="F33" s="115"/>
      <c r="G33" s="1"/>
    </row>
    <row r="34" spans="1:7" x14ac:dyDescent="0.25">
      <c r="A34" s="1"/>
      <c r="B34" s="138" t="s">
        <v>249</v>
      </c>
      <c r="C34" s="139"/>
      <c r="D34" s="140"/>
      <c r="E34" s="9">
        <v>1</v>
      </c>
      <c r="F34" s="14"/>
      <c r="G34" s="1"/>
    </row>
    <row r="35" spans="1:7" x14ac:dyDescent="0.25">
      <c r="A35" s="1"/>
      <c r="B35" s="138" t="s">
        <v>161</v>
      </c>
      <c r="C35" s="139"/>
      <c r="D35" s="140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8" t="s">
        <v>110</v>
      </c>
      <c r="C36" s="139"/>
      <c r="D36" s="140"/>
      <c r="E36" s="9">
        <v>4</v>
      </c>
      <c r="F36" s="14" t="s">
        <v>19</v>
      </c>
      <c r="G36" s="1"/>
    </row>
    <row r="37" spans="1:7" x14ac:dyDescent="0.25">
      <c r="A37" s="1"/>
      <c r="B37" s="137" t="s">
        <v>160</v>
      </c>
      <c r="C37" s="137"/>
      <c r="D37" s="137"/>
      <c r="E37" s="10">
        <f>E35/E36</f>
        <v>0</v>
      </c>
      <c r="F37" s="17" t="s">
        <v>3</v>
      </c>
      <c r="G37" s="1"/>
    </row>
    <row r="38" spans="1:7" x14ac:dyDescent="0.25">
      <c r="A38" s="1"/>
      <c r="B38" s="131"/>
      <c r="C38" s="132"/>
      <c r="D38" s="132"/>
      <c r="E38" s="132"/>
      <c r="F38" s="133"/>
      <c r="G38" s="1"/>
    </row>
    <row r="39" spans="1:7" ht="75" customHeight="1" x14ac:dyDescent="0.25">
      <c r="A39" s="1"/>
      <c r="B39" s="102" t="s">
        <v>247</v>
      </c>
      <c r="C39" s="103"/>
      <c r="D39" s="103"/>
      <c r="E39" s="103"/>
      <c r="F39" s="10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Ampk4W0NAiIIbac9BPDe7Gnw3y5EgbIWywmBL2/bMyLgJTpEEBbYSiFcNAIZ6t36RiplvhxDnP+/T/GHg7Y5A==" saltValue="Jw9Gd7KmOkiWJHoxCzUnAw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157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250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158</v>
      </c>
      <c r="C11" s="114"/>
      <c r="D11" s="11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BHK/0NV6EV9/X8R5L9eNRTsyiPJcm6rslvFspUD/FcSTXmwG/1Eu9M664Sr0B08rHEHtL9Dlzby8iPNcYYYMQ==" saltValue="q0K2EtF6bSNhan8quMBv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5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DlkwhdBP34EDPAtoN8j/70+hdnznN37FwwumLOAQ8SD/mrZygK65wTD6MODjOeH266FjdIDI7a+VSfO6x1vZ3A==" saltValue="8W6HxAEkUZwYnYKPAfUZ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102</v>
      </c>
      <c r="C8" s="114"/>
      <c r="D8" s="114"/>
      <c r="E8" s="114"/>
      <c r="F8" s="115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246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103</v>
      </c>
      <c r="C16" s="114"/>
      <c r="D16" s="114"/>
      <c r="E16" s="114"/>
      <c r="F16" s="115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246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3" t="s">
        <v>138</v>
      </c>
      <c r="C24" s="114"/>
      <c r="D24" s="114"/>
      <c r="E24" s="114"/>
      <c r="F24" s="115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246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3" t="s">
        <v>211</v>
      </c>
      <c r="C32" s="114"/>
      <c r="D32" s="114"/>
      <c r="E32" s="114"/>
      <c r="F32" s="115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246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HEGhhRIzZqAGf23S2+BxKIbxDZa3SVJSMtedU5u9rUNGdkCT8i3wg0zo7L0H2AsozV7DuRBC9arzD2D8YMHtg==" saltValue="GlFhh0ewOu4sfWU65/T92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166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130</v>
      </c>
      <c r="C8" s="114"/>
      <c r="D8" s="114"/>
      <c r="E8" s="114"/>
      <c r="F8" s="115"/>
      <c r="G8" s="1"/>
    </row>
    <row r="9" spans="1:7" ht="15" customHeight="1" x14ac:dyDescent="0.25">
      <c r="A9" s="1"/>
      <c r="B9" s="48" t="s">
        <v>131</v>
      </c>
      <c r="C9" s="108" t="s">
        <v>11</v>
      </c>
      <c r="D9" s="110"/>
      <c r="E9" s="108" t="s">
        <v>32</v>
      </c>
      <c r="F9" s="110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RIxzIOTtdmh6SoOBhVFY40k3AkagtmGz7vxWuyBKEfG44Y/BmW77LkIE5oGEyc7nTykyT15kuyMr0lNZoeEyOg==" saltValue="6wI0oZfGoK25CRLkHDlky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165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98</v>
      </c>
      <c r="C8" s="114"/>
      <c r="D8" s="114"/>
      <c r="E8" s="114"/>
      <c r="F8" s="115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3" t="s">
        <v>99</v>
      </c>
      <c r="C15" s="114"/>
      <c r="D15" s="114"/>
      <c r="E15" s="114"/>
      <c r="F15" s="115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3" t="s">
        <v>142</v>
      </c>
      <c r="C22" s="114"/>
      <c r="D22" s="114"/>
      <c r="E22" s="114"/>
      <c r="F22" s="115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3" t="s">
        <v>214</v>
      </c>
      <c r="C29" s="114"/>
      <c r="D29" s="114"/>
      <c r="E29" s="114"/>
      <c r="F29" s="115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fA+iog0ripGDO0TTpzMvSJPWDGm8uFYdNV4vH/5U6zFK4Rbld7S/C6Qf4HIrmWB5rFB3cW2XC8iuW4z2ZlwqA==" saltValue="MDw8L6sJiqpQs2/G1HvRw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8" t="s">
        <v>164</v>
      </c>
      <c r="C3" s="98"/>
      <c r="D3" s="1"/>
    </row>
    <row r="4" spans="1:4" ht="25.5" customHeight="1" x14ac:dyDescent="0.25">
      <c r="A4" s="1"/>
      <c r="B4" s="98"/>
      <c r="C4" s="9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3"/>
      <c r="C15" s="11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sFSEkDBpyx44T3QupZL38WcBUPsBQhmEExwyCSz1zVVcPrBIZHjalLWGH7t0fHKJgIImYH/3bdXhJ+nvCEuLKQ==" saltValue="B10T2mhyYNxz+4C7EV1KK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183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11898362.177790746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18003.913267526797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100817.44126317231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145160.0185690471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-49062.27873535805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-113289.4182002704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-194179.7407579768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11686990.758666186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omk.'!C14</f>
        <v>12616493.482285151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183170.54773022421</v>
      </c>
      <c r="D30" s="11" t="s">
        <v>3</v>
      </c>
      <c r="E30" s="1"/>
    </row>
    <row r="31" spans="1:5" x14ac:dyDescent="0.25">
      <c r="A31" s="1"/>
      <c r="B31" s="36" t="s">
        <v>224</v>
      </c>
      <c r="C31" s="56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24486654.788681559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GfhtsR4H9y1q2P5KnW0US3Zjtrjtl7VkpE/C9jMfb6ZoanTyOhXmUe3lXHM0wZQIy92Ot7Gfs1SfXIyrhbHOEQ==" saltValue="O0yQmCUHHywHcBl6gZyLF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11686990.758666186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38567.06950359841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-47766.971913507761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-111390.0078147247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-101965.52525303156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11464435.323188521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omk.'!C14*(1+'Fane 12. Nøgletal'!C14)</f>
        <v>12658127.910776693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6"/>
      <c r="D25" s="20"/>
      <c r="E25" s="1"/>
    </row>
    <row r="26" spans="1:5" x14ac:dyDescent="0.25">
      <c r="A26" s="1"/>
      <c r="B26" s="67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24122563.233965214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MxtJxs/QsCJYYo2BTlW20ITm1JdhGT6S+UEJHYgseiES+vXOlU6NTCiCoK00+cYzM7baJUzffKKe7eKKDbiN9A==" saltValue="UnL1nrLqUrYDc9oBwcZDR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11464435.323188521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37832.636566522116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-46857.345179373733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-109522.44294370302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-100787.94171636835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11245100.229915597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Nøgletal'!C14)^2</f>
        <v>12699899.732882258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6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186</v>
      </c>
      <c r="C26" s="12">
        <f>SUM(C15,C17,C21,C23,C25)</f>
        <v>23944999.962797854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lR7mK11M8yHJC67jBKKnyOX445p/wU0oPYOc8btGYgojWz2jVYaYkWzwr3diXn4qZ7dbv0ALIPTbNh2wgmtfIg==" saltValue="DJFjAsOk0ZM3Kge6wjk/x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187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188</v>
      </c>
      <c r="C8" s="7">
        <f>'Fane 2.3. Økonomisk ramme 2024'!C15</f>
        <v>11245100.229915597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37108.830758721466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-45960.880601249075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-107686.18966530889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-99623.9579035567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11028938.032504203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Nøgletal'!C14)^3</f>
        <v>12741809.40200077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189</v>
      </c>
      <c r="C26" s="12">
        <f>SUM(C15,C17,C21,C23,C25)</f>
        <v>23770747.434504971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MoU5YkOh3yys6Fa5aCuZ8Mlguov2c9IxPxwFNmlWUZpE822w6O333O74zhJ9O4PuLQN5EGOHDRh2WGtQ5ceppg==" saltValue="9HDASpaMv4TzKeIEDXPE6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190</v>
      </c>
      <c r="C3" s="98"/>
      <c r="D3" s="98"/>
      <c r="E3" s="98"/>
      <c r="F3" s="98"/>
      <c r="G3" s="1"/>
    </row>
    <row r="4" spans="1:7" ht="29.2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223</v>
      </c>
      <c r="C8" s="56"/>
      <c r="D8" s="56"/>
      <c r="E8" s="56"/>
      <c r="F8" s="20"/>
      <c r="G8" s="1"/>
    </row>
    <row r="9" spans="1:7" x14ac:dyDescent="0.25">
      <c r="A9" s="1"/>
      <c r="B9" s="99" t="s">
        <v>23</v>
      </c>
      <c r="C9" s="100"/>
      <c r="D9" s="101"/>
      <c r="E9" s="7">
        <v>11990935.747683071</v>
      </c>
      <c r="F9" s="8" t="s">
        <v>3</v>
      </c>
      <c r="G9" s="1"/>
    </row>
    <row r="10" spans="1:7" ht="15" customHeight="1" x14ac:dyDescent="0.25">
      <c r="A10" s="1"/>
      <c r="B10" s="92" t="s">
        <v>40</v>
      </c>
      <c r="C10" s="93"/>
      <c r="D10" s="94"/>
      <c r="E10" s="9">
        <v>18225.673200000001</v>
      </c>
      <c r="F10" s="8" t="s">
        <v>3</v>
      </c>
      <c r="G10" s="1"/>
    </row>
    <row r="11" spans="1:7" ht="15" customHeight="1" x14ac:dyDescent="0.25">
      <c r="A11" s="1"/>
      <c r="B11" s="92" t="s">
        <v>41</v>
      </c>
      <c r="C11" s="93"/>
      <c r="D11" s="94"/>
      <c r="E11" s="9">
        <v>102849.64199999999</v>
      </c>
      <c r="F11" s="8" t="s">
        <v>3</v>
      </c>
      <c r="G11" s="1"/>
    </row>
    <row r="12" spans="1:7" x14ac:dyDescent="0.25">
      <c r="A12" s="1"/>
      <c r="B12" s="92" t="s">
        <v>28</v>
      </c>
      <c r="C12" s="93"/>
      <c r="D12" s="94"/>
      <c r="E12" s="9">
        <v>0</v>
      </c>
      <c r="F12" s="8" t="s">
        <v>3</v>
      </c>
      <c r="G12" s="1"/>
    </row>
    <row r="13" spans="1:7" x14ac:dyDescent="0.25">
      <c r="A13" s="1"/>
      <c r="B13" s="92" t="s">
        <v>27</v>
      </c>
      <c r="C13" s="93"/>
      <c r="D13" s="94"/>
      <c r="E13" s="9">
        <v>0</v>
      </c>
      <c r="F13" s="8" t="s">
        <v>3</v>
      </c>
      <c r="G13" s="1"/>
    </row>
    <row r="14" spans="1:7" x14ac:dyDescent="0.25">
      <c r="A14" s="1"/>
      <c r="B14" s="92" t="s">
        <v>132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92" t="s">
        <v>133</v>
      </c>
      <c r="C15" s="93"/>
      <c r="D15" s="94"/>
      <c r="E15" s="9">
        <v>0</v>
      </c>
      <c r="F15" s="8" t="s">
        <v>3</v>
      </c>
      <c r="G15" s="1"/>
    </row>
    <row r="16" spans="1:7" x14ac:dyDescent="0.25">
      <c r="A16" s="1"/>
      <c r="B16" s="92" t="s">
        <v>18</v>
      </c>
      <c r="C16" s="93"/>
      <c r="D16" s="94"/>
      <c r="E16" s="9">
        <v>147766.53496717347</v>
      </c>
      <c r="F16" s="8" t="s">
        <v>3</v>
      </c>
      <c r="G16" s="1"/>
    </row>
    <row r="17" spans="1:7" x14ac:dyDescent="0.25">
      <c r="A17" s="1"/>
      <c r="B17" s="92" t="s">
        <v>9</v>
      </c>
      <c r="C17" s="93"/>
      <c r="D17" s="94"/>
      <c r="E17" s="9">
        <v>-49943.248821431232</v>
      </c>
      <c r="F17" s="8" t="s">
        <v>3</v>
      </c>
      <c r="G17" s="1"/>
    </row>
    <row r="18" spans="1:7" x14ac:dyDescent="0.25">
      <c r="A18" s="1"/>
      <c r="B18" s="92" t="s">
        <v>25</v>
      </c>
      <c r="C18" s="93"/>
      <c r="D18" s="94"/>
      <c r="E18" s="9">
        <v>-114208.1082228147</v>
      </c>
      <c r="F18" s="8" t="s">
        <v>3</v>
      </c>
      <c r="G18" s="1"/>
    </row>
    <row r="19" spans="1:7" x14ac:dyDescent="0.25">
      <c r="A19" s="1"/>
      <c r="B19" s="92" t="s">
        <v>26</v>
      </c>
      <c r="C19" s="93"/>
      <c r="D19" s="94"/>
      <c r="E19" s="9">
        <v>-197264.06301525174</v>
      </c>
      <c r="F19" s="8" t="s">
        <v>3</v>
      </c>
      <c r="G19" s="1"/>
    </row>
    <row r="20" spans="1:7" x14ac:dyDescent="0.25">
      <c r="A20" s="1"/>
      <c r="B20" s="105" t="s">
        <v>20</v>
      </c>
      <c r="C20" s="106"/>
      <c r="D20" s="107"/>
      <c r="E20" s="10">
        <f>SUM(E9:E19)</f>
        <v>11898362.177790746</v>
      </c>
      <c r="F20" s="11" t="s">
        <v>3</v>
      </c>
      <c r="G20" s="1"/>
    </row>
    <row r="21" spans="1:7" x14ac:dyDescent="0.25">
      <c r="A21" s="1"/>
      <c r="B21" s="55" t="s">
        <v>244</v>
      </c>
      <c r="C21" s="56"/>
      <c r="D21" s="56"/>
      <c r="E21" s="56"/>
      <c r="F21" s="20"/>
      <c r="G21" s="1"/>
    </row>
    <row r="22" spans="1:7" x14ac:dyDescent="0.25">
      <c r="A22" s="1"/>
      <c r="B22" s="95" t="s">
        <v>12</v>
      </c>
      <c r="C22" s="96"/>
      <c r="D22" s="97"/>
      <c r="E22" s="10">
        <v>6266336.3942684401</v>
      </c>
      <c r="F22" s="11" t="s">
        <v>3</v>
      </c>
      <c r="G22" s="1"/>
    </row>
    <row r="23" spans="1:7" ht="15" customHeight="1" x14ac:dyDescent="0.25">
      <c r="A23" s="1"/>
      <c r="B23" s="111" t="s">
        <v>89</v>
      </c>
      <c r="C23" s="112"/>
      <c r="D23" s="112"/>
      <c r="E23" s="56"/>
      <c r="F23" s="20"/>
      <c r="G23" s="1"/>
    </row>
    <row r="24" spans="1:7" ht="14.25" customHeight="1" x14ac:dyDescent="0.25">
      <c r="A24" s="1"/>
      <c r="B24" s="102" t="s">
        <v>85</v>
      </c>
      <c r="C24" s="103"/>
      <c r="D24" s="104"/>
      <c r="E24" s="9">
        <v>0</v>
      </c>
      <c r="F24" s="8" t="s">
        <v>3</v>
      </c>
      <c r="G24" s="1"/>
    </row>
    <row r="25" spans="1:7" ht="14.25" customHeight="1" x14ac:dyDescent="0.25">
      <c r="A25" s="1"/>
      <c r="B25" s="102" t="s">
        <v>86</v>
      </c>
      <c r="C25" s="103"/>
      <c r="D25" s="104"/>
      <c r="E25" s="9">
        <v>0</v>
      </c>
      <c r="F25" s="8" t="s">
        <v>3</v>
      </c>
      <c r="G25" s="1"/>
    </row>
    <row r="26" spans="1:7" x14ac:dyDescent="0.25">
      <c r="A26" s="1"/>
      <c r="B26" s="108" t="s">
        <v>90</v>
      </c>
      <c r="C26" s="109"/>
      <c r="D26" s="109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x14ac:dyDescent="0.25">
      <c r="A28" s="1"/>
      <c r="B28" s="108" t="s">
        <v>162</v>
      </c>
      <c r="C28" s="109"/>
      <c r="D28" s="110"/>
      <c r="E28" s="10">
        <v>-183170.54773022421</v>
      </c>
      <c r="F28" s="11" t="s">
        <v>3</v>
      </c>
      <c r="G28" s="1"/>
    </row>
    <row r="29" spans="1:7" x14ac:dyDescent="0.25">
      <c r="A29" s="1"/>
      <c r="B29" s="55" t="s">
        <v>244</v>
      </c>
      <c r="C29" s="56"/>
      <c r="D29" s="56"/>
      <c r="E29" s="56"/>
      <c r="F29" s="20"/>
      <c r="G29" s="1"/>
    </row>
    <row r="30" spans="1:7" ht="15" customHeight="1" x14ac:dyDescent="0.25">
      <c r="A30" s="1"/>
      <c r="B30" s="108" t="s">
        <v>245</v>
      </c>
      <c r="C30" s="109"/>
      <c r="D30" s="110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17981528.024328962</v>
      </c>
      <c r="F31" s="13" t="s">
        <v>3</v>
      </c>
      <c r="G31" s="1"/>
    </row>
    <row r="32" spans="1:7" ht="27" customHeight="1" x14ac:dyDescent="0.25">
      <c r="A32" s="1"/>
      <c r="B32" s="102" t="s">
        <v>191</v>
      </c>
      <c r="C32" s="103"/>
      <c r="D32" s="103"/>
      <c r="E32" s="103"/>
      <c r="F32" s="104"/>
      <c r="G32" s="1"/>
    </row>
    <row r="33" spans="1:7" ht="27.7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H8aL2qftXdaqBnlaE4l6onFPF+q/7XjykgVHDbLyq8dgrjkBJoKmHKH30JHgMGBSdAJykcVLEZavsTqIVpXRQ==" saltValue="oHicLiooxQB8E0ny4rNkB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30:D30"/>
    <mergeCell ref="B23:D23"/>
    <mergeCell ref="B24:D24"/>
    <mergeCell ref="B25:D25"/>
    <mergeCell ref="B26:D26"/>
    <mergeCell ref="B28:D28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8" t="s">
        <v>115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8"/>
      <c r="C3" s="98"/>
      <c r="D3" s="98"/>
      <c r="E3" s="98"/>
      <c r="F3" s="98"/>
      <c r="G3" s="98"/>
      <c r="H3" s="98"/>
      <c r="I3" s="1"/>
    </row>
    <row r="4" spans="1:9" x14ac:dyDescent="0.25">
      <c r="A4" s="1"/>
      <c r="B4" s="113" t="s">
        <v>54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43</v>
      </c>
      <c r="C5" s="117"/>
      <c r="D5" s="117"/>
      <c r="E5" s="117"/>
      <c r="F5" s="118"/>
      <c r="G5" s="24">
        <v>5433459</v>
      </c>
      <c r="H5" s="14" t="s">
        <v>3</v>
      </c>
      <c r="I5" s="1"/>
    </row>
    <row r="6" spans="1:9" x14ac:dyDescent="0.25">
      <c r="A6" s="1"/>
      <c r="B6" s="116" t="s">
        <v>44</v>
      </c>
      <c r="C6" s="117"/>
      <c r="D6" s="117"/>
      <c r="E6" s="117"/>
      <c r="F6" s="118"/>
      <c r="G6" s="24">
        <f>G5*'Fane 12. Nøgletal'!C29</f>
        <v>108669.18000000001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55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45</v>
      </c>
      <c r="C10" s="117"/>
      <c r="D10" s="117"/>
      <c r="E10" s="117"/>
      <c r="F10" s="118"/>
      <c r="G10" s="24">
        <f>(G5-G6)*(1+'Fane 12. Nøgletal'!C9)</f>
        <v>5392414.6507139998</v>
      </c>
      <c r="H10" s="14" t="s">
        <v>3</v>
      </c>
      <c r="I10" s="1"/>
    </row>
    <row r="11" spans="1:9" x14ac:dyDescent="0.25">
      <c r="A11" s="1"/>
      <c r="B11" s="119" t="s">
        <v>46</v>
      </c>
      <c r="C11" s="120"/>
      <c r="D11" s="120"/>
      <c r="E11" s="120"/>
      <c r="F11" s="121"/>
      <c r="G11" s="24">
        <v>0</v>
      </c>
      <c r="H11" s="14" t="s">
        <v>3</v>
      </c>
      <c r="I11" s="1"/>
    </row>
    <row r="12" spans="1:9" x14ac:dyDescent="0.25">
      <c r="A12" s="1"/>
      <c r="B12" s="116" t="s">
        <v>47</v>
      </c>
      <c r="C12" s="117"/>
      <c r="D12" s="117"/>
      <c r="E12" s="117"/>
      <c r="F12" s="118"/>
      <c r="G12" s="24">
        <f>(G10+G11)*'Fane 12. Nøgletal'!C29</f>
        <v>107848.29301428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56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48</v>
      </c>
      <c r="C16" s="117"/>
      <c r="D16" s="117"/>
      <c r="E16" s="117"/>
      <c r="F16" s="118"/>
      <c r="G16" s="24">
        <f>(G10+G11-G12)*(1+'Fane 12. Nøgletal'!C11)</f>
        <v>5373875.529144845</v>
      </c>
      <c r="H16" s="14" t="s">
        <v>3</v>
      </c>
      <c r="I16" s="1"/>
    </row>
    <row r="17" spans="1:9" x14ac:dyDescent="0.25">
      <c r="A17" s="1"/>
      <c r="B17" s="116" t="s">
        <v>125</v>
      </c>
      <c r="C17" s="117"/>
      <c r="D17" s="117"/>
      <c r="E17" s="117"/>
      <c r="F17" s="118"/>
      <c r="G17" s="24">
        <v>-20098.118324705236</v>
      </c>
      <c r="H17" s="14" t="s">
        <v>3</v>
      </c>
      <c r="I17" s="1"/>
    </row>
    <row r="18" spans="1:9" x14ac:dyDescent="0.25">
      <c r="A18" s="1"/>
      <c r="B18" s="119" t="s">
        <v>49</v>
      </c>
      <c r="C18" s="120"/>
      <c r="D18" s="120"/>
      <c r="E18" s="120"/>
      <c r="F18" s="121"/>
      <c r="G18" s="24">
        <v>404133.06541531993</v>
      </c>
      <c r="H18" s="14" t="s">
        <v>3</v>
      </c>
      <c r="I18" s="1"/>
    </row>
    <row r="19" spans="1:9" x14ac:dyDescent="0.25">
      <c r="A19" s="1"/>
      <c r="B19" s="116" t="s">
        <v>50</v>
      </c>
      <c r="C19" s="117"/>
      <c r="D19" s="117"/>
      <c r="E19" s="117"/>
      <c r="F19" s="118"/>
      <c r="G19" s="24">
        <f>SUM(G16:G18)*'Fane 12. Nøgletal'!C29</f>
        <v>115158.20952470919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57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51</v>
      </c>
      <c r="C23" s="117"/>
      <c r="D23" s="117"/>
      <c r="E23" s="117"/>
      <c r="F23" s="118"/>
      <c r="G23" s="24">
        <f>(SUM(G16:G18)-G19)*(1+'Fane 12. Nøgletal'!C11)</f>
        <v>5738114.780018162</v>
      </c>
      <c r="H23" s="14" t="s">
        <v>3</v>
      </c>
      <c r="I23" s="1"/>
    </row>
    <row r="24" spans="1:9" x14ac:dyDescent="0.25">
      <c r="A24" s="1"/>
      <c r="B24" s="119" t="s">
        <v>52</v>
      </c>
      <c r="C24" s="120"/>
      <c r="D24" s="120"/>
      <c r="E24" s="120"/>
      <c r="F24" s="121"/>
      <c r="G24" s="24">
        <v>0</v>
      </c>
      <c r="H24" s="14" t="s">
        <v>3</v>
      </c>
      <c r="I24" s="1"/>
    </row>
    <row r="25" spans="1:9" x14ac:dyDescent="0.25">
      <c r="A25" s="1"/>
      <c r="B25" s="116" t="s">
        <v>53</v>
      </c>
      <c r="C25" s="117"/>
      <c r="D25" s="117"/>
      <c r="E25" s="117"/>
      <c r="F25" s="118"/>
      <c r="G25" s="24">
        <f>(G23+G24)*'Fane 12. Nøgletal'!C29</f>
        <v>114762.29560036324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175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60</v>
      </c>
      <c r="C29" s="117"/>
      <c r="D29" s="117"/>
      <c r="E29" s="117"/>
      <c r="F29" s="118"/>
      <c r="G29" s="24">
        <f>(G23+G24-G25)*(1+'Fane 12. Nøgletal'!C13)</f>
        <v>5691957.384727696</v>
      </c>
      <c r="H29" s="14" t="s">
        <v>3</v>
      </c>
      <c r="I29" s="1"/>
    </row>
    <row r="30" spans="1:9" x14ac:dyDescent="0.25">
      <c r="A30" s="1"/>
      <c r="B30" s="116" t="s">
        <v>147</v>
      </c>
      <c r="C30" s="117"/>
      <c r="D30" s="117"/>
      <c r="E30" s="117"/>
      <c r="F30" s="118"/>
      <c r="G30" s="24">
        <f>SUM('Fane 3. Omkostninger i ØR2021'!E10,'Fane 3. Omkostninger i ØR2021'!E12,'Fane 3. Omkostninger i ØR2021'!E14)*(1+'Fane 12. Nøgletal'!C13)</f>
        <v>18448.026413039999</v>
      </c>
      <c r="H30" s="14" t="s">
        <v>3</v>
      </c>
      <c r="I30" s="1"/>
    </row>
    <row r="31" spans="1:9" x14ac:dyDescent="0.25">
      <c r="A31" s="1"/>
      <c r="B31" s="116" t="s">
        <v>159</v>
      </c>
      <c r="C31" s="117"/>
      <c r="D31" s="117"/>
      <c r="E31" s="117"/>
      <c r="F31" s="118"/>
      <c r="G31" s="24">
        <f>(G29+G30)*'Fane 12. Nøgletal'!C29</f>
        <v>114208.10822281473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176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80</v>
      </c>
      <c r="C35" s="117"/>
      <c r="D35" s="117"/>
      <c r="E35" s="117"/>
      <c r="F35" s="118"/>
      <c r="G35" s="24">
        <f>(G29+G30-G31)*(1+'Fane 12. Nøgletal'!C13)</f>
        <v>5664470.9100135202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24">
        <f>SUM('Fane 2.1. Økonomisk ramme 2022'!C10)*(1+'Fane 12. Nøgletal'!C14)</f>
        <v>18063.326181309636</v>
      </c>
      <c r="H36" s="14" t="s">
        <v>3</v>
      </c>
      <c r="I36" s="1"/>
    </row>
    <row r="37" spans="1:9" x14ac:dyDescent="0.25">
      <c r="A37" s="1"/>
      <c r="B37" s="116" t="s">
        <v>221</v>
      </c>
      <c r="C37" s="117"/>
      <c r="D37" s="117"/>
      <c r="E37" s="117"/>
      <c r="F37" s="118"/>
      <c r="G37" s="24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6" t="s">
        <v>177</v>
      </c>
      <c r="C38" s="117"/>
      <c r="D38" s="117"/>
      <c r="E38" s="117"/>
      <c r="F38" s="118"/>
      <c r="G38" s="24">
        <f>(G35+G37)*'Fane 12. Nøgletal'!C29</f>
        <v>113289.4182002704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81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79</v>
      </c>
      <c r="C42" s="117"/>
      <c r="D42" s="117"/>
      <c r="E42" s="117"/>
      <c r="F42" s="118"/>
      <c r="G42" s="24">
        <f>(G35+G37-G38)*(1+'Fane 12. Nøgletal'!C14)</f>
        <v>5569500.3907362344</v>
      </c>
      <c r="H42" s="14" t="s">
        <v>3</v>
      </c>
      <c r="I42" s="1"/>
    </row>
    <row r="43" spans="1:9" x14ac:dyDescent="0.25">
      <c r="A43" s="1"/>
      <c r="B43" s="116" t="s">
        <v>92</v>
      </c>
      <c r="C43" s="117"/>
      <c r="D43" s="117"/>
      <c r="E43" s="117"/>
      <c r="F43" s="118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6" t="s">
        <v>61</v>
      </c>
      <c r="C44" s="117"/>
      <c r="D44" s="117"/>
      <c r="E44" s="117"/>
      <c r="F44" s="118"/>
      <c r="G44" s="24">
        <f>(G42+G43)*'Fane 12. Nøgletal'!C29</f>
        <v>111390.0078147247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3" t="s">
        <v>148</v>
      </c>
      <c r="C47" s="114"/>
      <c r="D47" s="114"/>
      <c r="E47" s="114"/>
      <c r="F47" s="114"/>
      <c r="G47" s="114"/>
      <c r="H47" s="115"/>
      <c r="I47" s="1"/>
    </row>
    <row r="48" spans="1:9" x14ac:dyDescent="0.25">
      <c r="A48" s="1"/>
      <c r="B48" s="116" t="s">
        <v>149</v>
      </c>
      <c r="C48" s="117"/>
      <c r="D48" s="117"/>
      <c r="E48" s="117"/>
      <c r="F48" s="118"/>
      <c r="G48" s="24">
        <f>(G42+G43-G44)*(1+'Fane 12. Nøgletal'!C14)</f>
        <v>5476122.1471851505</v>
      </c>
      <c r="H48" s="14" t="s">
        <v>3</v>
      </c>
      <c r="I48" s="1"/>
    </row>
    <row r="49" spans="1:9" x14ac:dyDescent="0.25">
      <c r="A49" s="1"/>
      <c r="B49" s="116" t="s">
        <v>150</v>
      </c>
      <c r="C49" s="117"/>
      <c r="D49" s="117"/>
      <c r="E49" s="117"/>
      <c r="F49" s="118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6" t="s">
        <v>151</v>
      </c>
      <c r="C50" s="117"/>
      <c r="D50" s="117"/>
      <c r="E50" s="117"/>
      <c r="F50" s="118"/>
      <c r="G50" s="24">
        <f>(G48+G49)*'Fane 12. Nøgletal'!C29</f>
        <v>109522.44294370302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3" t="s">
        <v>198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6" t="s">
        <v>199</v>
      </c>
      <c r="C54" s="117"/>
      <c r="D54" s="117"/>
      <c r="E54" s="117"/>
      <c r="F54" s="118"/>
      <c r="G54" s="24">
        <f>(G48+G49-G50)*(1+'Fane 12. Nøgletal'!C14)</f>
        <v>5384309.4832654446</v>
      </c>
      <c r="H54" s="14" t="s">
        <v>3</v>
      </c>
      <c r="I54" s="1"/>
    </row>
    <row r="55" spans="1:9" x14ac:dyDescent="0.25">
      <c r="A55" s="1"/>
      <c r="B55" s="116" t="s">
        <v>200</v>
      </c>
      <c r="C55" s="117"/>
      <c r="D55" s="117"/>
      <c r="E55" s="117"/>
      <c r="F55" s="118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6" t="s">
        <v>201</v>
      </c>
      <c r="C56" s="117"/>
      <c r="D56" s="117"/>
      <c r="E56" s="117"/>
      <c r="F56" s="118"/>
      <c r="G56" s="24">
        <f>(G54+G55)*'Fane 12. Nøgletal'!C29</f>
        <v>107686.18966530889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vr04STjgYCs0gg8cAmh0mF65WO0MfXtDtDAgCybtaR6EGhHMmyMaNlQ33CpkBsheWPSxKZNnxuHK3AiiM8gpwA==" saltValue="sK7ZKdJYrTfwP5d4V7TMn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23"/>
      <c r="D1" s="123"/>
      <c r="E1" s="123"/>
      <c r="F1" s="123"/>
      <c r="G1" s="123"/>
      <c r="H1" s="123"/>
      <c r="I1" s="1"/>
    </row>
    <row r="2" spans="1:9" ht="19.899999999999999" customHeight="1" x14ac:dyDescent="0.25">
      <c r="A2" s="1"/>
      <c r="B2" s="123"/>
      <c r="C2" s="123"/>
      <c r="D2" s="123"/>
      <c r="E2" s="123"/>
      <c r="F2" s="123"/>
      <c r="G2" s="123"/>
      <c r="H2" s="123"/>
      <c r="I2" s="1"/>
    </row>
    <row r="3" spans="1:9" ht="15" customHeight="1" x14ac:dyDescent="0.25">
      <c r="A3" s="1"/>
      <c r="B3" s="124"/>
      <c r="C3" s="124"/>
      <c r="D3" s="124"/>
      <c r="E3" s="124"/>
      <c r="F3" s="124"/>
      <c r="G3" s="124"/>
      <c r="H3" s="124"/>
      <c r="I3" s="1"/>
    </row>
    <row r="4" spans="1:9" x14ac:dyDescent="0.25">
      <c r="A4" s="1"/>
      <c r="B4" s="113" t="s">
        <v>58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62</v>
      </c>
      <c r="C5" s="117"/>
      <c r="D5" s="117"/>
      <c r="E5" s="117"/>
      <c r="F5" s="118"/>
      <c r="G5" s="24">
        <v>6508235</v>
      </c>
      <c r="H5" s="14" t="s">
        <v>3</v>
      </c>
      <c r="I5" s="1"/>
    </row>
    <row r="6" spans="1:9" x14ac:dyDescent="0.25">
      <c r="A6" s="1"/>
      <c r="B6" s="116" t="s">
        <v>59</v>
      </c>
      <c r="C6" s="117"/>
      <c r="D6" s="117"/>
      <c r="E6" s="117"/>
      <c r="F6" s="118"/>
      <c r="G6" s="24">
        <f>G5*'Fane 12. Nøgletal'!C19</f>
        <v>59224.938500000004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63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64</v>
      </c>
      <c r="C10" s="117"/>
      <c r="D10" s="117"/>
      <c r="E10" s="117"/>
      <c r="F10" s="118"/>
      <c r="G10" s="24">
        <f>(G5-G6)*(1+'Fane 12. Nøgletal'!C9)</f>
        <v>6530912.489281049</v>
      </c>
      <c r="H10" s="14" t="s">
        <v>3</v>
      </c>
      <c r="I10" s="1"/>
    </row>
    <row r="11" spans="1:9" x14ac:dyDescent="0.25">
      <c r="A11" s="1"/>
      <c r="B11" s="119" t="s">
        <v>65</v>
      </c>
      <c r="C11" s="120"/>
      <c r="D11" s="120"/>
      <c r="E11" s="120"/>
      <c r="F11" s="121"/>
      <c r="G11" s="24">
        <v>0</v>
      </c>
      <c r="H11" s="14" t="s">
        <v>3</v>
      </c>
      <c r="I11" s="1"/>
    </row>
    <row r="12" spans="1:9" x14ac:dyDescent="0.25">
      <c r="A12" s="1"/>
      <c r="B12" s="116" t="s">
        <v>66</v>
      </c>
      <c r="C12" s="117"/>
      <c r="D12" s="117"/>
      <c r="E12" s="117"/>
      <c r="F12" s="118"/>
      <c r="G12" s="24">
        <f>G10*'Fane 12. Nøgletal'!C19+G11*'Fane 12. Nøgletal'!C20</f>
        <v>59431.303652457551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67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68</v>
      </c>
      <c r="C16" s="117"/>
      <c r="D16" s="117"/>
      <c r="E16" s="117"/>
      <c r="F16" s="118"/>
      <c r="G16" s="24">
        <f>(G10+G11-G12)*(1+'Fane 12. Nøgletal'!C11)</f>
        <v>6580849.2176657133</v>
      </c>
      <c r="H16" s="14" t="s">
        <v>3</v>
      </c>
      <c r="I16" s="1"/>
    </row>
    <row r="17" spans="1:9" x14ac:dyDescent="0.25">
      <c r="A17" s="1"/>
      <c r="B17" s="116" t="s">
        <v>126</v>
      </c>
      <c r="C17" s="117"/>
      <c r="D17" s="117"/>
      <c r="E17" s="117"/>
      <c r="F17" s="118"/>
      <c r="G17" s="24">
        <v>117200.36801839173</v>
      </c>
      <c r="H17" s="14" t="s">
        <v>3</v>
      </c>
      <c r="I17" s="1"/>
    </row>
    <row r="18" spans="1:9" x14ac:dyDescent="0.25">
      <c r="A18" s="1"/>
      <c r="B18" s="119" t="s">
        <v>69</v>
      </c>
      <c r="C18" s="120"/>
      <c r="D18" s="120"/>
      <c r="E18" s="120"/>
      <c r="F18" s="121"/>
      <c r="G18" s="24">
        <v>290892.41843543993</v>
      </c>
      <c r="H18" s="14" t="s">
        <v>3</v>
      </c>
      <c r="I18" s="1"/>
    </row>
    <row r="19" spans="1:9" x14ac:dyDescent="0.25">
      <c r="A19" s="1"/>
      <c r="B19" s="116" t="s">
        <v>70</v>
      </c>
      <c r="C19" s="117"/>
      <c r="D19" s="117"/>
      <c r="E19" s="117"/>
      <c r="F19" s="118"/>
      <c r="G19" s="24">
        <f>(G16+G17+G18)*'Fane 12. Nøgletal'!C21</f>
        <v>60803.795435840038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71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72</v>
      </c>
      <c r="C23" s="117"/>
      <c r="D23" s="117"/>
      <c r="E23" s="117"/>
      <c r="F23" s="118"/>
      <c r="G23" s="24">
        <f>(SUM(G16:G18)-G19)*(1+'Fane 12. Nøgletal'!C11)</f>
        <v>7045223.744410459</v>
      </c>
      <c r="H23" s="14" t="s">
        <v>3</v>
      </c>
      <c r="I23" s="1"/>
    </row>
    <row r="24" spans="1:9" x14ac:dyDescent="0.25">
      <c r="A24" s="1"/>
      <c r="B24" s="119" t="s">
        <v>73</v>
      </c>
      <c r="C24" s="120"/>
      <c r="D24" s="120"/>
      <c r="E24" s="120"/>
      <c r="F24" s="121"/>
      <c r="G24" s="24">
        <v>0</v>
      </c>
      <c r="H24" s="14" t="s">
        <v>3</v>
      </c>
      <c r="I24" s="1"/>
    </row>
    <row r="25" spans="1:9" x14ac:dyDescent="0.25">
      <c r="A25" s="1"/>
      <c r="B25" s="116" t="s">
        <v>74</v>
      </c>
      <c r="C25" s="117"/>
      <c r="D25" s="117"/>
      <c r="E25" s="117"/>
      <c r="F25" s="118"/>
      <c r="G25" s="24">
        <f>G23*'Fane 12. Nøgletal'!C21+G24*'Fane 12. Nøgletal'!C22</f>
        <v>61293.446576370989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173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75</v>
      </c>
      <c r="C29" s="117"/>
      <c r="D29" s="117"/>
      <c r="E29" s="117"/>
      <c r="F29" s="118"/>
      <c r="G29" s="24">
        <f>(G23+G24-G25)*(1+'Fane 12. Nøgletal'!C13)</f>
        <v>7069134.2474676641</v>
      </c>
      <c r="H29" s="14" t="s">
        <v>3</v>
      </c>
      <c r="I29" s="1"/>
    </row>
    <row r="30" spans="1:9" x14ac:dyDescent="0.25">
      <c r="A30" s="1"/>
      <c r="B30" s="116" t="s">
        <v>152</v>
      </c>
      <c r="C30" s="117"/>
      <c r="D30" s="117"/>
      <c r="E30" s="117"/>
      <c r="F30" s="118"/>
      <c r="G30" s="24">
        <v>104104.40763239999</v>
      </c>
      <c r="H30" s="14" t="s">
        <v>3</v>
      </c>
      <c r="I30" s="1"/>
    </row>
    <row r="31" spans="1:9" x14ac:dyDescent="0.25">
      <c r="A31" s="1"/>
      <c r="B31" s="116" t="s">
        <v>174</v>
      </c>
      <c r="C31" s="117"/>
      <c r="D31" s="117"/>
      <c r="E31" s="117"/>
      <c r="F31" s="118"/>
      <c r="G31" s="24">
        <f>(G29+G30)*'Fane 12. Nøgletal'!C23</f>
        <v>197264.06301525177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178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78</v>
      </c>
      <c r="C35" s="117"/>
      <c r="D35" s="117"/>
      <c r="E35" s="117"/>
      <c r="F35" s="118"/>
      <c r="G35" s="24">
        <f>(G29+G30-G31)*(1+'Fane 12. Nøgletal'!C13)</f>
        <v>7061081.4821082475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101150.13881934079</v>
      </c>
      <c r="H36" s="14" t="s">
        <v>3</v>
      </c>
      <c r="I36" s="38"/>
    </row>
    <row r="37" spans="1:9" x14ac:dyDescent="0.25">
      <c r="A37" s="1"/>
      <c r="B37" s="116" t="s">
        <v>193</v>
      </c>
      <c r="C37" s="117"/>
      <c r="D37" s="117"/>
      <c r="E37" s="117"/>
      <c r="F37" s="118"/>
      <c r="G37" s="24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6" t="s">
        <v>179</v>
      </c>
      <c r="C38" s="117"/>
      <c r="D38" s="117"/>
      <c r="E38" s="117"/>
      <c r="F38" s="118"/>
      <c r="G38" s="24">
        <f>G35*'Fane 12. Nøgletal'!C23+G37*'Fane 12. Nøgletal'!C24</f>
        <v>194179.7407579768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82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77</v>
      </c>
      <c r="C42" s="117"/>
      <c r="D42" s="117"/>
      <c r="E42" s="117"/>
      <c r="F42" s="118"/>
      <c r="G42" s="24">
        <f>(G35+G37-G38)*(1+'Fane 12. Nøgletal'!C14)</f>
        <v>6889562.5170967272</v>
      </c>
      <c r="H42" s="14" t="s">
        <v>3</v>
      </c>
      <c r="I42" s="1"/>
    </row>
    <row r="43" spans="1:9" x14ac:dyDescent="0.25">
      <c r="A43" s="1"/>
      <c r="B43" s="116" t="s">
        <v>96</v>
      </c>
      <c r="C43" s="117"/>
      <c r="D43" s="117"/>
      <c r="E43" s="117"/>
      <c r="F43" s="118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6" t="s">
        <v>76</v>
      </c>
      <c r="C44" s="117"/>
      <c r="D44" s="117"/>
      <c r="E44" s="117"/>
      <c r="F44" s="118"/>
      <c r="G44" s="24">
        <f>(G42+G43)*'Fane 12. Nøgletal'!C24</f>
        <v>101965.52525303156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3" t="s">
        <v>153</v>
      </c>
      <c r="C47" s="114"/>
      <c r="D47" s="114"/>
      <c r="E47" s="114"/>
      <c r="F47" s="114"/>
      <c r="G47" s="114"/>
      <c r="H47" s="115"/>
      <c r="I47" s="1"/>
    </row>
    <row r="48" spans="1:9" x14ac:dyDescent="0.25">
      <c r="A48" s="1"/>
      <c r="B48" s="116" t="s">
        <v>154</v>
      </c>
      <c r="C48" s="117"/>
      <c r="D48" s="117"/>
      <c r="E48" s="117"/>
      <c r="F48" s="118"/>
      <c r="G48" s="24">
        <f>(G42+G43-G44)*(1+'Fane 12. Nøgletal'!C14)</f>
        <v>6809996.0619167807</v>
      </c>
      <c r="H48" s="14" t="s">
        <v>3</v>
      </c>
      <c r="I48" s="1"/>
    </row>
    <row r="49" spans="1:9" x14ac:dyDescent="0.25">
      <c r="A49" s="1"/>
      <c r="B49" s="116" t="s">
        <v>155</v>
      </c>
      <c r="C49" s="117"/>
      <c r="D49" s="117"/>
      <c r="E49" s="117"/>
      <c r="F49" s="118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6" t="s">
        <v>156</v>
      </c>
      <c r="C50" s="117"/>
      <c r="D50" s="117"/>
      <c r="E50" s="117"/>
      <c r="F50" s="118"/>
      <c r="G50" s="24">
        <f>(G48+G49)*'Fane 12. Nøgletal'!C24</f>
        <v>100787.94171636835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3" t="s">
        <v>194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6" t="s">
        <v>195</v>
      </c>
      <c r="C54" s="117"/>
      <c r="D54" s="117"/>
      <c r="E54" s="117"/>
      <c r="F54" s="118"/>
      <c r="G54" s="24">
        <f>(G48+G49-G50)*(1+'Fane 12. Nøgletal'!C14)</f>
        <v>6731348.506997074</v>
      </c>
      <c r="H54" s="14" t="s">
        <v>3</v>
      </c>
      <c r="I54" s="1"/>
    </row>
    <row r="55" spans="1:9" x14ac:dyDescent="0.25">
      <c r="A55" s="1"/>
      <c r="B55" s="116" t="s">
        <v>196</v>
      </c>
      <c r="C55" s="117"/>
      <c r="D55" s="117"/>
      <c r="E55" s="117"/>
      <c r="F55" s="118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6" t="s">
        <v>197</v>
      </c>
      <c r="C56" s="117"/>
      <c r="D56" s="117"/>
      <c r="E56" s="117"/>
      <c r="F56" s="118"/>
      <c r="G56" s="24">
        <f>(G54+G55)*'Fane 12. Nøgletal'!C24</f>
        <v>99623.9579035567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JE3MENlLcCoMhHnZY+fYK5sP6hRn7grKg2WMZoE3r5uJu7K9mpZZhHNN0BKlCLcIS8etzBlbOO2TLeBV3ajDlg==" saltValue="PZKWoxcJ3El/4wFwNHVe2w==" spinCount="100000" sheet="1" objects="1" scenarios="1"/>
  <mergeCells count="37"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9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16" t="s">
        <v>105</v>
      </c>
      <c r="C9" s="117"/>
      <c r="D9" s="117"/>
      <c r="E9" s="117"/>
      <c r="F9" s="118"/>
      <c r="G9" s="44">
        <v>6.0634348770789966E-3</v>
      </c>
      <c r="H9" s="14"/>
      <c r="I9" s="1"/>
    </row>
    <row r="10" spans="1:9" x14ac:dyDescent="0.25">
      <c r="A10" s="1"/>
      <c r="B10" s="116" t="s">
        <v>141</v>
      </c>
      <c r="C10" s="117"/>
      <c r="D10" s="117"/>
      <c r="E10" s="117"/>
      <c r="F10" s="118"/>
      <c r="G10" s="44">
        <v>4.0737483549610877E-3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5" t="s">
        <v>191</v>
      </c>
      <c r="C12" s="126"/>
      <c r="D12" s="126"/>
      <c r="E12" s="126"/>
      <c r="F12" s="126"/>
      <c r="G12" s="126"/>
      <c r="H12" s="127"/>
      <c r="I12" s="1"/>
    </row>
    <row r="13" spans="1:9" ht="12.75" customHeight="1" x14ac:dyDescent="0.25">
      <c r="A13" s="18"/>
      <c r="B13" s="128"/>
      <c r="C13" s="129"/>
      <c r="D13" s="129"/>
      <c r="E13" s="129"/>
      <c r="F13" s="129"/>
      <c r="G13" s="129"/>
      <c r="H13" s="13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UI8AUTMlTZ2/dFF+RapIjhfA0ove5jSyQWJ39d2g3Hz0R5QEZUvabr3dfZuFQDGUQWPRxXyc3SEHfQi1X7oqQ==" saltValue="zloB+F019ahYAIT1HP+ZV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2021-10-06T08:54:36Z</dcterms:modified>
</cp:coreProperties>
</file>