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ønderborg Spildevandsforsyning AS (S093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4" i="19"/>
  <c r="E28" i="20" l="1"/>
  <c r="E22" i="20"/>
  <c r="E16" i="20"/>
  <c r="E10" i="20"/>
  <c r="E10" i="11" l="1"/>
  <c r="G6" i="30" l="1"/>
  <c r="G10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4" i="30" s="1"/>
  <c r="E30" i="21" l="1"/>
  <c r="G60" i="36" s="1"/>
  <c r="C30" i="21"/>
  <c r="G58" i="30" s="1"/>
  <c r="E24" i="21"/>
  <c r="G54" i="36" s="1"/>
  <c r="C24" i="21"/>
  <c r="G52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38" i="39" l="1"/>
  <c r="C23" i="23" s="1"/>
  <c r="E22" i="39"/>
  <c r="C23" i="15" s="1"/>
  <c r="E30" i="39"/>
  <c r="C23" i="22" s="1"/>
  <c r="C14" i="39"/>
  <c r="C26" i="2" s="1"/>
  <c r="E14" i="39"/>
  <c r="C27" i="2" s="1"/>
  <c r="C22" i="39"/>
  <c r="C22" i="15" s="1"/>
  <c r="C22" i="22"/>
  <c r="C22" i="23"/>
  <c r="C24" i="23" l="1"/>
  <c r="C24" i="22"/>
  <c r="C24" i="15"/>
  <c r="C28" i="2"/>
  <c r="G6" i="36" l="1"/>
  <c r="G10" i="36" l="1"/>
  <c r="G13" i="36" l="1"/>
  <c r="G17" i="36" l="1"/>
  <c r="G19" i="36" s="1"/>
  <c r="G14" i="30"/>
  <c r="G18" i="30" s="1"/>
  <c r="G23" i="36" l="1"/>
  <c r="G25" i="36" s="1"/>
  <c r="G20" i="30"/>
  <c r="G29" i="36" l="1"/>
  <c r="G24" i="30"/>
  <c r="G31" i="36" l="1"/>
  <c r="F11" i="11"/>
  <c r="C10" i="37" s="1"/>
  <c r="C13" i="37" s="1"/>
  <c r="C14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5" i="19"/>
  <c r="C18" i="23" l="1"/>
  <c r="C18" i="22"/>
  <c r="C18" i="15"/>
  <c r="C15" i="2"/>
  <c r="C14" i="2"/>
  <c r="C22" i="2"/>
  <c r="C12" i="2"/>
  <c r="G37" i="30" s="1"/>
  <c r="G43" i="30" s="1"/>
  <c r="C13" i="2"/>
  <c r="G26" i="30" l="1"/>
  <c r="G30" i="30" l="1"/>
  <c r="E11" i="11"/>
  <c r="E10" i="37" s="1"/>
  <c r="E13" i="37" s="1"/>
  <c r="E14" i="37" s="1"/>
  <c r="C11" i="2" l="1"/>
  <c r="G36" i="36" s="1"/>
  <c r="G32" i="30"/>
  <c r="E18" i="27" s="1"/>
  <c r="G42" i="36" l="1"/>
  <c r="G37" i="36"/>
  <c r="G41" i="36" s="1"/>
  <c r="G36" i="30"/>
  <c r="E20" i="27"/>
  <c r="E33" i="27" s="1"/>
  <c r="C9" i="2" l="1"/>
  <c r="C16" i="2" s="1"/>
  <c r="G38" i="30"/>
  <c r="G42" i="30" s="1"/>
  <c r="G45" i="30" s="1"/>
  <c r="G51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3" i="30"/>
  <c r="C12" i="22" l="1"/>
  <c r="C13" i="22" s="1"/>
  <c r="C14" i="22"/>
  <c r="G57" i="30"/>
  <c r="G59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<sst xmlns="http://schemas.openxmlformats.org/spreadsheetml/2006/main" count="710" uniqueCount="287">
  <si>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</si>
  <si>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</si>
  <si>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</si>
  <si>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</si>
  <si>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</si>
  <si>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</si>
  <si>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</si>
  <si>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</si>
  <si>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</si>
  <si>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</si>
  <si>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</si>
  <si>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</si>
  <si>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</si>
  <si>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</si>
  <si>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</si>
  <si>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</si>
  <si>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</si>
  <si>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</si>
  <si>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</si>
  <si>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</si>
  <si>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</si>
  <si>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</si>
  <si>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</si>
  <si>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</si>
  <si>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</si>
  <si>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</si>
  <si>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</si>
  <si>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</si>
  <si>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</si>
  <si>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</si>
  <si>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</si>
  <si>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</si>
  <si>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</si>
  <si>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</si>
  <si>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</si>
  <si>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</si>
  <si>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</si>
  <si>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</si>
  <si>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</si>
  <si>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</si>
  <si>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</si>
  <si>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</si>
  <si>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</si>
  <si>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</si>
  <si>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</si>
  <si>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</si>
  <si>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</si>
  <si>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</si>
  <si>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</si>
  <si>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</si>
  <si>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</si>
  <si>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</si>
  <si>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</si>
  <si>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</si>
  <si>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</si>
  <si>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</si>
  <si>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</si>
  <si>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</si>
  <si>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</si>
  <si>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</si>
  <si>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</si>
  <si>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</si>
  <si>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</si>
  <si>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</si>
  <si>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</si>
  <si>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</si>
  <si>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</si>
  <si>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</si>
  <si>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</si>
  <si>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</si>
  <si>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</si>
  <si>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</si>
  <si>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</si>
  <si>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</si>
  <si>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</si>
  <si>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</si>
  <si>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</si>
  <si>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</si>
  <si>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</si>
  <si>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</si>
  <si>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</si>
  <si>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</si>
  <si>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</si>
  <si>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</si>
  <si>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</si>
  <si>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</si>
  <si>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</si>
  <si>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</si>
  <si>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</si>
  <si>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</si>
  <si>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</si>
  <si>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</si>
  <si>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</si>
  <si>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</si>
  <si>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</si>
  <si>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</si>
  <si>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</si>
  <si>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</si>
  <si>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</si>
  <si>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</si>
  <si>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</si>
  <si>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</si>
  <si>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</si>
  <si>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</si>
  <si>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</si>
  <si>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</si>
  <si>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</si>
  <si>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</si>
  <si>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</si>
  <si>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</si>
  <si>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</si>
  <si>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</si>
  <si>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</si>
  <si>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</si>
  <si>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</si>
  <si>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</si>
  <si>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</si>
  <si>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</si>
  <si>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</si>
  <si>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</si>
  <si>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</si>
  <si>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</si>
  <si>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</si>
  <si>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</si>
  <si>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</si>
  <si>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</si>
  <si>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</si>
  <si>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</si>
  <si>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</si>
  <si>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</si>
  <si>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</si>
  <si>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</si>
  <si>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</si>
  <si>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</si>
  <si>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</si>
  <si>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</si>
  <si>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</si>
  <si>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</si>
  <si>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</si>
  <si>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</si>
  <si>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</si>
  <si>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</si>
  <si>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</si>
  <si>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</si>
  <si>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</si>
  <si>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</si>
  <si>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</si>
  <si>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</si>
  <si>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</si>
  <si>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</si>
  <si>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</si>
  <si>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</si>
  <si>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</si>
  <si>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</si>
  <si>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</si>
  <si>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</si>
  <si>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</si>
  <si>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</si>
  <si>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</si>
  <si>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</si>
  <si>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</si>
  <si>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</si>
  <si>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</si>
  <si>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</si>
  <si>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</si>
  <si>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</si>
  <si>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</si>
  <si>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</si>
  <si>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</si>
  <si>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</si>
  <si>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</si>
  <si>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</si>
  <si>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</si>
  <si>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</si>
  <si>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</si>
  <si>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</si>
  <si>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</si>
  <si>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</si>
  <si>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</si>
  <si>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</si>
  <si>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</si>
  <si>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</si>
  <si>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</si>
  <si>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</si>
  <si>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</si>
  <si>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</si>
  <si>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</si>
  <si>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</si>
  <si>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</si>
  <si>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</si>
  <si>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</si>
  <si>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</si>
  <si>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</si>
  <si>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</si>
  <si>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</si>
  <si>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</si>
  <si>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</si>
  <si>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</si>
  <si>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</si>
  <si>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</si>
  <si>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</si>
  <si>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</si>
  <si>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</si>
  <si>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</si>
  <si>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</si>
  <si>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</si>
  <si>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</si>
  <si>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</si>
  <si>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</si>
  <si>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</si>
  <si>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</si>
  <si>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</si>
  <si>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</si>
  <si>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</si>
  <si>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</si>
  <si>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</si>
  <si>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</si>
  <si>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</si>
  <si>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</si>
  <si>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</si>
  <si>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</si>
  <si>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</si>
  <si>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</si>
  <si>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</si>
  <si>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</si>
  <si>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</si>
  <si>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</si>
  <si>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</si>
  <si>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</si>
  <si>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</si>
  <si>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</si>
  <si>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</si>
  <si>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</si>
  <si>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</si>
  <si>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</si>
  <si>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</si>
  <si>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</si>
  <si>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</si>
  <si>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</si>
  <si>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</si>
  <si>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</si>
  <si>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</si>
  <si>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</si>
  <si>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</si>
  <si>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</si>
  <si>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</si>
  <si>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</si>
  <si>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</si>
  <si>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</si>
  <si>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</si>
  <si>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</si>
  <si>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</si>
  <si>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</si>
  <si>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</si>
  <si>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</si>
  <si>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</si>
  <si>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</si>
  <si>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</si>
  <si>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</si>
  <si>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</si>
  <si>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</si>
  <si>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</si>
  <si>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Separatkloakeringer mm.</t>
  </si>
  <si>
    <t>Spildevandsafgift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</si>
  <si>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</si>
  <si>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</si>
  <si>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</si>
  <si>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</si>
  <si>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</si>
  <si>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</si>
  <si>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</si>
  <si>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</si>
  <si>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</si>
  <si>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</si>
  <si>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</si>
  <si>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</si>
  <si>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</si>
  <si>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</si>
  <si>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</si>
  <si>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</si>
  <si>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Byggemodninger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</si>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</sst>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9" t="s">
        <v>4</v>
      </c>
      <c r="E6" s="79"/>
      <c r="F6" s="79"/>
      <c r="G6" s="79"/>
      <c r="H6" s="3"/>
      <c r="I6" s="1"/>
    </row>
    <row r="7" spans="1:9" ht="15" customHeight="1" x14ac:dyDescent="0.45">
      <c r="A7" s="1"/>
      <c r="B7" s="1"/>
      <c r="C7" s="3"/>
      <c r="D7" s="79"/>
      <c r="E7" s="79"/>
      <c r="F7" s="79"/>
      <c r="G7" s="79"/>
      <c r="H7" s="3"/>
      <c r="I7" s="1"/>
    </row>
    <row r="8" spans="1:9" ht="15.75" x14ac:dyDescent="0.5">
      <c r="A8" s="1"/>
      <c r="B8" s="1"/>
      <c r="C8" s="4"/>
      <c r="D8" s="84" t="s">
        <v>285</v>
      </c>
      <c r="E8" s="84"/>
      <c r="F8" s="84"/>
      <c r="G8" s="84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83" t="s">
        <v>5</v>
      </c>
      <c r="E11" s="83"/>
      <c r="F11" s="83"/>
      <c r="G11" s="83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76" t="s">
        <v>245</v>
      </c>
      <c r="E13" s="77"/>
      <c r="F13" s="77"/>
      <c r="G13" s="78"/>
      <c r="H13" s="1"/>
      <c r="I13" s="1"/>
    </row>
    <row r="14" spans="1:9" x14ac:dyDescent="0.45">
      <c r="A14" s="1"/>
      <c r="B14" s="1"/>
      <c r="C14" s="6" t="s">
        <v>17</v>
      </c>
      <c r="D14" s="76" t="s">
        <v>246</v>
      </c>
      <c r="E14" s="77"/>
      <c r="F14" s="77"/>
      <c r="G14" s="78"/>
      <c r="H14" s="1"/>
      <c r="I14" s="1"/>
    </row>
    <row r="15" spans="1:9" x14ac:dyDescent="0.45">
      <c r="A15" s="1"/>
      <c r="B15" s="1"/>
      <c r="C15" s="6" t="s">
        <v>37</v>
      </c>
      <c r="D15" s="76" t="s">
        <v>160</v>
      </c>
      <c r="E15" s="77"/>
      <c r="F15" s="77"/>
      <c r="G15" s="78"/>
      <c r="H15" s="1"/>
      <c r="I15" s="1"/>
    </row>
    <row r="16" spans="1:9" x14ac:dyDescent="0.45">
      <c r="A16" s="1"/>
      <c r="B16" s="1"/>
      <c r="C16" s="6" t="s">
        <v>38</v>
      </c>
      <c r="D16" s="76" t="s">
        <v>247</v>
      </c>
      <c r="E16" s="77"/>
      <c r="F16" s="77"/>
      <c r="G16" s="78"/>
      <c r="H16" s="1"/>
      <c r="I16" s="1"/>
    </row>
    <row r="17" spans="1:9" x14ac:dyDescent="0.45">
      <c r="A17" s="1"/>
      <c r="B17" s="1"/>
      <c r="C17" s="6" t="s">
        <v>144</v>
      </c>
      <c r="D17" s="76" t="s">
        <v>248</v>
      </c>
      <c r="E17" s="77"/>
      <c r="F17" s="77"/>
      <c r="G17" s="78"/>
      <c r="H17" s="1"/>
      <c r="I17" s="1"/>
    </row>
    <row r="18" spans="1:9" x14ac:dyDescent="0.45">
      <c r="A18" s="1"/>
      <c r="B18" s="1"/>
      <c r="C18" s="6" t="s">
        <v>124</v>
      </c>
      <c r="D18" s="73" t="s">
        <v>110</v>
      </c>
      <c r="E18" s="74"/>
      <c r="F18" s="74"/>
      <c r="G18" s="75"/>
      <c r="H18" s="1"/>
      <c r="I18" s="1"/>
    </row>
    <row r="19" spans="1:9" x14ac:dyDescent="0.45">
      <c r="A19" s="1"/>
      <c r="B19" s="1"/>
      <c r="C19" s="6" t="s">
        <v>125</v>
      </c>
      <c r="D19" s="73" t="s">
        <v>111</v>
      </c>
      <c r="E19" s="74"/>
      <c r="F19" s="74"/>
      <c r="G19" s="75"/>
      <c r="H19" s="1"/>
      <c r="I19" s="1"/>
    </row>
    <row r="20" spans="1:9" x14ac:dyDescent="0.45">
      <c r="A20" s="1"/>
      <c r="B20" s="1"/>
      <c r="C20" s="6" t="s">
        <v>7</v>
      </c>
      <c r="D20" s="73" t="s">
        <v>10</v>
      </c>
      <c r="E20" s="74"/>
      <c r="F20" s="74"/>
      <c r="G20" s="75"/>
      <c r="H20" s="1"/>
      <c r="I20" s="1"/>
    </row>
    <row r="21" spans="1:9" x14ac:dyDescent="0.45">
      <c r="A21" s="1"/>
      <c r="B21" s="1"/>
      <c r="C21" s="6" t="s">
        <v>126</v>
      </c>
      <c r="D21" s="80" t="s">
        <v>13</v>
      </c>
      <c r="E21" s="81"/>
      <c r="F21" s="81"/>
      <c r="G21" s="82"/>
      <c r="H21" s="1"/>
      <c r="I21" s="1"/>
    </row>
    <row r="22" spans="1:9" x14ac:dyDescent="0.45">
      <c r="A22" s="1"/>
      <c r="B22" s="1"/>
      <c r="C22" s="6" t="s">
        <v>91</v>
      </c>
      <c r="D22" s="67" t="s">
        <v>249</v>
      </c>
      <c r="E22" s="68"/>
      <c r="F22" s="68"/>
      <c r="G22" s="69"/>
      <c r="H22" s="1"/>
      <c r="I22" s="1"/>
    </row>
    <row r="23" spans="1:9" x14ac:dyDescent="0.45">
      <c r="A23" s="1"/>
      <c r="B23" s="1"/>
      <c r="C23" s="6" t="s">
        <v>8</v>
      </c>
      <c r="D23" s="67" t="s">
        <v>195</v>
      </c>
      <c r="E23" s="68"/>
      <c r="F23" s="68"/>
      <c r="G23" s="69"/>
      <c r="H23" s="1"/>
      <c r="I23" s="1"/>
    </row>
    <row r="24" spans="1:9" x14ac:dyDescent="0.45">
      <c r="A24" s="1"/>
      <c r="B24" s="1"/>
      <c r="C24" s="6" t="s">
        <v>9</v>
      </c>
      <c r="D24" s="67" t="s">
        <v>39</v>
      </c>
      <c r="E24" s="68"/>
      <c r="F24" s="68"/>
      <c r="G24" s="69"/>
      <c r="H24" s="1"/>
      <c r="I24" s="1"/>
    </row>
    <row r="25" spans="1:9" x14ac:dyDescent="0.45">
      <c r="A25" s="1"/>
      <c r="B25" s="1"/>
      <c r="C25" s="6" t="s">
        <v>127</v>
      </c>
      <c r="D25" s="67" t="s">
        <v>92</v>
      </c>
      <c r="E25" s="68"/>
      <c r="F25" s="68"/>
      <c r="G25" s="69"/>
      <c r="H25" s="1"/>
      <c r="I25" s="1"/>
    </row>
    <row r="26" spans="1:9" x14ac:dyDescent="0.45">
      <c r="A26" s="1"/>
      <c r="B26" s="1"/>
      <c r="C26" s="6" t="s">
        <v>128</v>
      </c>
      <c r="D26" s="67" t="s">
        <v>93</v>
      </c>
      <c r="E26" s="68"/>
      <c r="F26" s="68"/>
      <c r="G26" s="69"/>
      <c r="H26" s="1"/>
      <c r="I26" s="1"/>
    </row>
    <row r="27" spans="1:9" x14ac:dyDescent="0.45">
      <c r="A27" s="1"/>
      <c r="B27" s="1"/>
      <c r="C27" s="6" t="s">
        <v>129</v>
      </c>
      <c r="D27" s="67" t="s">
        <v>94</v>
      </c>
      <c r="E27" s="68"/>
      <c r="F27" s="68"/>
      <c r="G27" s="69"/>
      <c r="H27" s="1"/>
      <c r="I27" s="1"/>
    </row>
    <row r="28" spans="1:9" x14ac:dyDescent="0.45">
      <c r="A28" s="1"/>
      <c r="B28" s="1"/>
      <c r="C28" s="6" t="s">
        <v>16</v>
      </c>
      <c r="D28" s="67" t="s">
        <v>161</v>
      </c>
      <c r="E28" s="68"/>
      <c r="F28" s="68"/>
      <c r="G28" s="69"/>
      <c r="H28" s="1"/>
      <c r="I28" s="1"/>
    </row>
    <row r="29" spans="1:9" x14ac:dyDescent="0.45">
      <c r="A29" s="1"/>
      <c r="B29" s="1"/>
      <c r="C29" s="6" t="s">
        <v>41</v>
      </c>
      <c r="D29" s="67" t="s">
        <v>40</v>
      </c>
      <c r="E29" s="68"/>
      <c r="F29" s="68"/>
      <c r="G29" s="69"/>
      <c r="H29" s="1"/>
      <c r="I29" s="1"/>
    </row>
    <row r="30" spans="1:9" x14ac:dyDescent="0.45">
      <c r="A30" s="1"/>
      <c r="B30" s="1"/>
      <c r="C30" s="6" t="s">
        <v>42</v>
      </c>
      <c r="D30" s="70" t="s">
        <v>123</v>
      </c>
      <c r="E30" s="71"/>
      <c r="F30" s="71"/>
      <c r="G30" s="72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lt02X/zlQ0IAkSAkMQzhkcBVAt2yzpCixNb09EbcN24ys9BgjFq0uOB+VDQWcLt7ravWMKrQh3+j206lNnY6Wg==" saltValue="Zp7vnm5V3TyDAy0D3K9dkw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5" t="s">
        <v>132</v>
      </c>
      <c r="C3" s="85"/>
      <c r="D3" s="85"/>
      <c r="E3" s="1"/>
      <c r="F3" s="1"/>
    </row>
    <row r="4" spans="1:6" ht="15" customHeight="1" x14ac:dyDescent="0.45">
      <c r="A4" s="1"/>
      <c r="B4" s="85"/>
      <c r="C4" s="85"/>
      <c r="D4" s="85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7" t="s">
        <v>208</v>
      </c>
      <c r="C8" s="98"/>
      <c r="D8" s="99"/>
      <c r="E8" s="1"/>
      <c r="F8" s="1"/>
    </row>
    <row r="9" spans="1:6" ht="15" customHeight="1" x14ac:dyDescent="0.4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45">
      <c r="A10" s="1"/>
      <c r="B10" s="63" t="s">
        <v>263</v>
      </c>
      <c r="C10" s="9">
        <v>2334021.33</v>
      </c>
      <c r="D10" s="14" t="s">
        <v>3</v>
      </c>
      <c r="E10" s="1"/>
      <c r="F10" s="1"/>
    </row>
    <row r="11" spans="1:6" x14ac:dyDescent="0.45">
      <c r="A11" s="1"/>
      <c r="B11" s="63" t="s">
        <v>264</v>
      </c>
      <c r="C11" s="9">
        <v>102449</v>
      </c>
      <c r="D11" s="14" t="s">
        <v>3</v>
      </c>
      <c r="E11" s="1"/>
      <c r="F11" s="1"/>
    </row>
    <row r="12" spans="1:6" x14ac:dyDescent="0.45">
      <c r="A12" s="1"/>
      <c r="B12" s="63" t="s">
        <v>265</v>
      </c>
      <c r="C12" s="9">
        <v>468162.4</v>
      </c>
      <c r="D12" s="14" t="s">
        <v>3</v>
      </c>
      <c r="E12" s="1"/>
      <c r="F12" s="1"/>
    </row>
    <row r="13" spans="1:6" x14ac:dyDescent="0.45">
      <c r="A13" s="1"/>
      <c r="B13" s="63" t="s">
        <v>266</v>
      </c>
      <c r="C13" s="9">
        <v>359113.41</v>
      </c>
      <c r="D13" s="14" t="s">
        <v>3</v>
      </c>
      <c r="E13" s="1"/>
      <c r="F13" s="1"/>
    </row>
    <row r="14" spans="1:6" x14ac:dyDescent="0.45">
      <c r="A14" s="1"/>
      <c r="B14" s="38" t="s">
        <v>209</v>
      </c>
      <c r="C14" s="12">
        <f>SUM(C10:C13)</f>
        <v>3263746.14</v>
      </c>
      <c r="D14" s="13" t="s">
        <v>3</v>
      </c>
      <c r="E14" s="1"/>
      <c r="F14" s="1"/>
    </row>
    <row r="15" spans="1:6" x14ac:dyDescent="0.45">
      <c r="A15" s="1"/>
      <c r="B15" s="38" t="s">
        <v>210</v>
      </c>
      <c r="C15" s="12">
        <f>C14*(1+'Fane 14. Nøgletal'!C14)^2</f>
        <v>3285322.4067194653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97" t="s">
        <v>142</v>
      </c>
      <c r="C18" s="98"/>
      <c r="D18" s="99"/>
      <c r="E18" s="1"/>
      <c r="F18" s="1"/>
    </row>
    <row r="19" spans="1:6" x14ac:dyDescent="0.45">
      <c r="A19" s="1"/>
      <c r="B19" s="63" t="s">
        <v>116</v>
      </c>
      <c r="C19" s="9">
        <v>0</v>
      </c>
      <c r="D19" s="14" t="s">
        <v>3</v>
      </c>
      <c r="E19" s="1"/>
      <c r="F19" s="1"/>
    </row>
    <row r="20" spans="1:6" x14ac:dyDescent="0.45">
      <c r="A20" s="1"/>
      <c r="B20" s="63" t="s">
        <v>117</v>
      </c>
      <c r="C20" s="9">
        <v>0</v>
      </c>
      <c r="D20" s="14" t="s">
        <v>3</v>
      </c>
      <c r="E20" s="1"/>
      <c r="F20" s="1"/>
    </row>
    <row r="21" spans="1:6" x14ac:dyDescent="0.45">
      <c r="A21" s="1"/>
      <c r="B21" s="63" t="s">
        <v>154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63" t="s">
        <v>211</v>
      </c>
      <c r="C22" s="9">
        <v>0</v>
      </c>
      <c r="D22" s="14" t="s">
        <v>3</v>
      </c>
      <c r="E22" s="1"/>
      <c r="F22" s="1"/>
    </row>
    <row r="23" spans="1:6" x14ac:dyDescent="0.45">
      <c r="A23" s="1"/>
      <c r="B23" s="97"/>
      <c r="C23" s="98"/>
      <c r="D23" s="99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97" t="s">
        <v>115</v>
      </c>
      <c r="C26" s="98"/>
      <c r="D26" s="99"/>
      <c r="E26" s="1"/>
      <c r="F26" s="1"/>
    </row>
    <row r="27" spans="1:6" x14ac:dyDescent="0.45">
      <c r="A27" s="1"/>
      <c r="B27" s="63" t="s">
        <v>116</v>
      </c>
      <c r="C27" s="9">
        <v>1536583</v>
      </c>
      <c r="D27" s="14" t="s">
        <v>3</v>
      </c>
      <c r="E27" s="1"/>
      <c r="F27" s="1"/>
    </row>
    <row r="28" spans="1:6" x14ac:dyDescent="0.45">
      <c r="A28" s="1"/>
      <c r="B28" s="63" t="s">
        <v>117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63" t="s">
        <v>154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63" t="s">
        <v>211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97"/>
      <c r="C31" s="98"/>
      <c r="D31" s="99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WnYy0OC6cbbulZgirZKOcoUyal6bUMi5E/QslLh4y1U94E4hzsxDsuUiEpUtmIW0E1C4+RS5nOujU5/tl7l68A==" saltValue="n4N74eGZMyrMwf+0Gbrug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86328125" style="2" customWidth="1"/>
    <col min="5" max="5" width="12.26562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0" t="s">
        <v>212</v>
      </c>
      <c r="C3" s="90"/>
      <c r="D3" s="90"/>
      <c r="E3" s="90"/>
      <c r="F3" s="90"/>
      <c r="G3" s="1"/>
    </row>
    <row r="4" spans="1:7" ht="15" customHeight="1" x14ac:dyDescent="0.45">
      <c r="A4" s="1"/>
      <c r="B4" s="90"/>
      <c r="C4" s="90"/>
      <c r="D4" s="90"/>
      <c r="E4" s="90"/>
      <c r="F4" s="90"/>
      <c r="G4" s="1"/>
    </row>
    <row r="5" spans="1:7" ht="15" customHeight="1" x14ac:dyDescent="0.45">
      <c r="A5" s="1"/>
      <c r="B5" s="51"/>
      <c r="C5" s="51"/>
      <c r="D5" s="51"/>
      <c r="E5" s="51"/>
      <c r="F5" s="51"/>
      <c r="G5" s="1"/>
    </row>
    <row r="6" spans="1:7" ht="15" customHeight="1" x14ac:dyDescent="0.45">
      <c r="A6" s="1"/>
      <c r="B6" s="51"/>
      <c r="C6" s="51"/>
      <c r="D6" s="51"/>
      <c r="E6" s="51"/>
      <c r="F6" s="5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7" t="s">
        <v>268</v>
      </c>
      <c r="C8" s="98"/>
      <c r="D8" s="98"/>
      <c r="E8" s="98"/>
      <c r="F8" s="99"/>
      <c r="G8" s="1"/>
    </row>
    <row r="9" spans="1:7" x14ac:dyDescent="0.45">
      <c r="A9" s="1"/>
      <c r="B9" s="102" t="s">
        <v>269</v>
      </c>
      <c r="C9" s="103"/>
      <c r="D9" s="104"/>
      <c r="E9" s="9">
        <v>53042175.948635578</v>
      </c>
      <c r="F9" s="14" t="s">
        <v>3</v>
      </c>
      <c r="G9" s="1"/>
    </row>
    <row r="10" spans="1:7" x14ac:dyDescent="0.45">
      <c r="A10" s="1"/>
      <c r="B10" s="102" t="s">
        <v>270</v>
      </c>
      <c r="C10" s="103"/>
      <c r="D10" s="104"/>
      <c r="E10" s="9">
        <v>49940460.076836795</v>
      </c>
      <c r="F10" s="14" t="s">
        <v>3</v>
      </c>
      <c r="G10" s="1"/>
    </row>
    <row r="11" spans="1:7" x14ac:dyDescent="0.45">
      <c r="A11" s="1"/>
      <c r="B11" s="102" t="s">
        <v>271</v>
      </c>
      <c r="C11" s="103"/>
      <c r="D11" s="104"/>
      <c r="E11" s="9">
        <v>49940460.076836795</v>
      </c>
      <c r="F11" s="14" t="s">
        <v>3</v>
      </c>
      <c r="G11" s="1"/>
    </row>
    <row r="12" spans="1:7" x14ac:dyDescent="0.45">
      <c r="A12" s="1"/>
      <c r="B12" s="102" t="s">
        <v>272</v>
      </c>
      <c r="C12" s="103"/>
      <c r="D12" s="104"/>
      <c r="E12" s="9">
        <v>23111103.875831693</v>
      </c>
      <c r="F12" s="14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51.75" customHeight="1" x14ac:dyDescent="0.45">
      <c r="A14" s="1"/>
      <c r="B14" s="87" t="s">
        <v>273</v>
      </c>
      <c r="C14" s="88"/>
      <c r="D14" s="88"/>
      <c r="E14" s="88"/>
      <c r="F14" s="89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7" t="s">
        <v>274</v>
      </c>
      <c r="C16" s="98"/>
      <c r="D16" s="98"/>
      <c r="E16" s="98"/>
      <c r="F16" s="99"/>
      <c r="G16" s="1"/>
    </row>
    <row r="17" spans="1:7" x14ac:dyDescent="0.45">
      <c r="A17" s="1"/>
      <c r="B17" s="102" t="s">
        <v>275</v>
      </c>
      <c r="C17" s="103"/>
      <c r="D17" s="104"/>
      <c r="E17" s="9">
        <v>0</v>
      </c>
      <c r="F17" s="14" t="s">
        <v>3</v>
      </c>
      <c r="G17" s="1"/>
    </row>
    <row r="18" spans="1:7" x14ac:dyDescent="0.45">
      <c r="A18" s="1"/>
      <c r="B18" s="102" t="s">
        <v>276</v>
      </c>
      <c r="C18" s="103"/>
      <c r="D18" s="104"/>
      <c r="E18" s="9">
        <v>0</v>
      </c>
      <c r="F18" s="14" t="s">
        <v>3</v>
      </c>
      <c r="G18" s="1"/>
    </row>
    <row r="19" spans="1:7" x14ac:dyDescent="0.45">
      <c r="A19" s="1"/>
      <c r="B19" s="38"/>
      <c r="C19" s="32"/>
      <c r="D19" s="32"/>
      <c r="E19" s="32"/>
      <c r="F19" s="20"/>
      <c r="G19" s="1"/>
    </row>
    <row r="20" spans="1:7" ht="29.25" customHeight="1" x14ac:dyDescent="0.45">
      <c r="A20" s="1"/>
      <c r="B20" s="87" t="s">
        <v>277</v>
      </c>
      <c r="C20" s="88"/>
      <c r="D20" s="88"/>
      <c r="E20" s="88"/>
      <c r="F20" s="89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5" t="s">
        <v>213</v>
      </c>
      <c r="C22" s="56"/>
      <c r="D22" s="56"/>
      <c r="E22" s="56"/>
      <c r="F22" s="57"/>
      <c r="G22" s="1"/>
    </row>
    <row r="23" spans="1:7" x14ac:dyDescent="0.45">
      <c r="A23" s="1"/>
      <c r="B23" s="60" t="s">
        <v>214</v>
      </c>
      <c r="C23" s="61"/>
      <c r="D23" s="62"/>
      <c r="E23" s="9">
        <v>148903716.99817741</v>
      </c>
      <c r="F23" s="14" t="s">
        <v>3</v>
      </c>
      <c r="G23" s="1"/>
    </row>
    <row r="24" spans="1:7" x14ac:dyDescent="0.45">
      <c r="A24" s="1"/>
      <c r="B24" s="60" t="s">
        <v>215</v>
      </c>
      <c r="C24" s="61"/>
      <c r="D24" s="62"/>
      <c r="E24" s="9">
        <v>133343606</v>
      </c>
      <c r="F24" s="14" t="s">
        <v>3</v>
      </c>
      <c r="G24" s="1"/>
    </row>
    <row r="25" spans="1:7" x14ac:dyDescent="0.45">
      <c r="A25" s="1"/>
      <c r="B25" s="60" t="s">
        <v>36</v>
      </c>
      <c r="C25" s="61"/>
      <c r="D25" s="62"/>
      <c r="E25" s="9">
        <v>0</v>
      </c>
      <c r="F25" s="14" t="s">
        <v>3</v>
      </c>
      <c r="G25" s="1"/>
    </row>
    <row r="26" spans="1:7" x14ac:dyDescent="0.45">
      <c r="A26" s="1"/>
      <c r="B26" s="58" t="s">
        <v>278</v>
      </c>
      <c r="C26" s="59"/>
      <c r="D26" s="65"/>
      <c r="E26" s="47">
        <f>E23-(E24-E25)</f>
        <v>15560110.998177409</v>
      </c>
      <c r="F26" s="17" t="s">
        <v>3</v>
      </c>
      <c r="G26" s="1"/>
    </row>
    <row r="27" spans="1:7" x14ac:dyDescent="0.45">
      <c r="A27" s="1"/>
      <c r="B27" s="38"/>
      <c r="C27" s="32"/>
      <c r="D27" s="32"/>
      <c r="E27" s="32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97" t="s">
        <v>186</v>
      </c>
      <c r="C30" s="98"/>
      <c r="D30" s="98"/>
      <c r="E30" s="98"/>
      <c r="F30" s="99"/>
      <c r="G30" s="1"/>
    </row>
    <row r="31" spans="1:7" x14ac:dyDescent="0.45">
      <c r="A31" s="1"/>
      <c r="B31" s="114" t="s">
        <v>283</v>
      </c>
      <c r="C31" s="115"/>
      <c r="D31" s="116"/>
      <c r="E31" s="9">
        <v>0</v>
      </c>
      <c r="F31" s="14"/>
      <c r="G31" s="1"/>
    </row>
    <row r="32" spans="1:7" x14ac:dyDescent="0.45">
      <c r="A32" s="1"/>
      <c r="B32" s="114" t="s">
        <v>187</v>
      </c>
      <c r="C32" s="115"/>
      <c r="D32" s="116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45">
      <c r="A33" s="1"/>
      <c r="B33" s="114" t="s">
        <v>120</v>
      </c>
      <c r="C33" s="115"/>
      <c r="D33" s="116"/>
      <c r="E33" s="9">
        <v>2</v>
      </c>
      <c r="F33" s="14" t="s">
        <v>21</v>
      </c>
      <c r="G33" s="1"/>
    </row>
    <row r="34" spans="1:7" x14ac:dyDescent="0.45">
      <c r="A34" s="1"/>
      <c r="B34" s="117" t="s">
        <v>188</v>
      </c>
      <c r="C34" s="117"/>
      <c r="D34" s="117"/>
      <c r="E34" s="10">
        <f>E32/E33</f>
        <v>0</v>
      </c>
      <c r="F34" s="17" t="s">
        <v>3</v>
      </c>
      <c r="G34" s="1"/>
    </row>
    <row r="35" spans="1:7" x14ac:dyDescent="0.45">
      <c r="A35" s="1"/>
      <c r="B35" s="118"/>
      <c r="C35" s="119"/>
      <c r="D35" s="119"/>
      <c r="E35" s="119"/>
      <c r="F35" s="120"/>
      <c r="G35" s="1"/>
    </row>
    <row r="36" spans="1:7" ht="75" customHeight="1" x14ac:dyDescent="0.45">
      <c r="A36" s="1"/>
      <c r="B36" s="87" t="s">
        <v>282</v>
      </c>
      <c r="C36" s="88"/>
      <c r="D36" s="88"/>
      <c r="E36" s="88"/>
      <c r="F36" s="89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</sheetData>
  <sheetProtection algorithmName="SHA-512" hashValue="KVoI7D/NhBHDvRD00bQ6jZh4fa39NAVisW7Vua46GyIkqoWVQngWCA+fDeXrrY68OoI5PjXrwmtOenxYKEaMTw==" saltValue="//MjnaYAuPMSuu6w0WdPnw==" spinCount="100000" sheet="1" objects="1" scenarios="1"/>
  <mergeCells count="18"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2:D32"/>
    <mergeCell ref="B33:D33"/>
    <mergeCell ref="B34:D34"/>
    <mergeCell ref="B35:F35"/>
    <mergeCell ref="B36:F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59765625" style="2" customWidth="1"/>
    <col min="5" max="5" width="12.7304687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0" t="s">
        <v>216</v>
      </c>
      <c r="C3" s="90"/>
      <c r="D3" s="90"/>
      <c r="E3" s="90"/>
      <c r="F3" s="90"/>
      <c r="G3" s="1"/>
    </row>
    <row r="4" spans="1:7" ht="15" customHeight="1" x14ac:dyDescent="0.45">
      <c r="A4" s="1"/>
      <c r="B4" s="90"/>
      <c r="C4" s="90"/>
      <c r="D4" s="90"/>
      <c r="E4" s="90"/>
      <c r="F4" s="9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97" t="s">
        <v>217</v>
      </c>
      <c r="C9" s="98"/>
      <c r="D9" s="98"/>
      <c r="E9" s="98"/>
      <c r="F9" s="99"/>
      <c r="G9" s="1"/>
    </row>
    <row r="10" spans="1:7" x14ac:dyDescent="0.45">
      <c r="A10" s="1"/>
      <c r="B10" s="87" t="s">
        <v>118</v>
      </c>
      <c r="C10" s="88"/>
      <c r="D10" s="89"/>
      <c r="E10" s="7">
        <v>0</v>
      </c>
      <c r="F10" s="8" t="s">
        <v>3</v>
      </c>
      <c r="G10" s="1"/>
    </row>
    <row r="11" spans="1:7" x14ac:dyDescent="0.45">
      <c r="A11" s="1"/>
      <c r="B11" s="102" t="s">
        <v>218</v>
      </c>
      <c r="C11" s="103"/>
      <c r="D11" s="104"/>
      <c r="E11" s="7">
        <v>820703</v>
      </c>
      <c r="F11" s="8" t="s">
        <v>3</v>
      </c>
      <c r="G11" s="1"/>
    </row>
    <row r="12" spans="1:7" x14ac:dyDescent="0.45">
      <c r="A12" s="1"/>
      <c r="B12" s="100" t="s">
        <v>119</v>
      </c>
      <c r="C12" s="101"/>
      <c r="D12" s="121"/>
      <c r="E12" s="10">
        <f>E11-E10</f>
        <v>820703</v>
      </c>
      <c r="F12" s="11" t="s">
        <v>3</v>
      </c>
      <c r="G12" s="1"/>
    </row>
    <row r="13" spans="1:7" x14ac:dyDescent="0.45">
      <c r="A13" s="1"/>
      <c r="B13" s="97" t="s">
        <v>109</v>
      </c>
      <c r="C13" s="98"/>
      <c r="D13" s="98"/>
      <c r="E13" s="98"/>
      <c r="F13" s="99"/>
      <c r="G13" s="1"/>
    </row>
    <row r="14" spans="1:7" x14ac:dyDescent="0.45">
      <c r="A14" s="1"/>
      <c r="B14" s="102" t="s">
        <v>219</v>
      </c>
      <c r="C14" s="103"/>
      <c r="D14" s="104"/>
      <c r="E14" s="9">
        <v>0</v>
      </c>
      <c r="F14" s="8" t="s">
        <v>3</v>
      </c>
      <c r="G14" s="1"/>
    </row>
    <row r="15" spans="1:7" x14ac:dyDescent="0.45">
      <c r="A15" s="1"/>
      <c r="B15" s="87" t="s">
        <v>220</v>
      </c>
      <c r="C15" s="88"/>
      <c r="D15" s="89"/>
      <c r="E15" s="9">
        <v>0</v>
      </c>
      <c r="F15" s="8" t="s">
        <v>3</v>
      </c>
      <c r="G15" s="1"/>
    </row>
    <row r="16" spans="1:7" x14ac:dyDescent="0.45">
      <c r="A16" s="1"/>
      <c r="B16" s="100" t="s">
        <v>119</v>
      </c>
      <c r="C16" s="101"/>
      <c r="D16" s="121"/>
      <c r="E16" s="10">
        <f>E15-E14</f>
        <v>0</v>
      </c>
      <c r="F16" s="11" t="s">
        <v>3</v>
      </c>
      <c r="G16" s="1"/>
    </row>
    <row r="17" spans="1:7" x14ac:dyDescent="0.45">
      <c r="A17" s="1"/>
      <c r="B17" s="38" t="s">
        <v>221</v>
      </c>
      <c r="C17" s="32"/>
      <c r="D17" s="32"/>
      <c r="E17" s="12">
        <f>E12+E16</f>
        <v>820703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nN3gEIjQvIjfe77oCcXEt6r+Q3IpPh8idob+jBKLJQ53h380V2UaLkRYHoSwpyPbENVDJYKuRhp/FGuRukBweQ==" saltValue="45dVKlSizMqwqApUq4dl4A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5" t="s">
        <v>177</v>
      </c>
      <c r="C3" s="85"/>
      <c r="D3" s="85"/>
      <c r="E3" s="85"/>
      <c r="F3" s="85"/>
      <c r="G3" s="85"/>
      <c r="H3" s="85"/>
      <c r="I3" s="1"/>
    </row>
    <row r="4" spans="1:9" ht="15" customHeight="1" x14ac:dyDescent="0.4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7" t="s">
        <v>178</v>
      </c>
      <c r="C8" s="98"/>
      <c r="D8" s="98"/>
      <c r="E8" s="98"/>
      <c r="F8" s="98"/>
      <c r="G8" s="98"/>
      <c r="H8" s="99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45">
      <c r="A10" s="1"/>
      <c r="B10" s="66" t="s">
        <v>284</v>
      </c>
      <c r="C10" s="48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97" t="s">
        <v>179</v>
      </c>
      <c r="C11" s="98"/>
      <c r="D11" s="99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WNW4DO5d2+DDzxnEj5gLPxB3Fb9wbkiylsfGZK+ZZaxbMf6Jl/DjpsSg+EbS4G53vtA0oFh9jpQc7Sk8eBbhuA==" saltValue="YqJwz7ct59MMPAHUi2fM4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5" t="s">
        <v>135</v>
      </c>
      <c r="C3" s="85"/>
      <c r="D3" s="85"/>
      <c r="E3" s="85"/>
      <c r="F3" s="85"/>
      <c r="G3" s="1"/>
    </row>
    <row r="4" spans="1:7" ht="15" customHeight="1" x14ac:dyDescent="0.45">
      <c r="A4" s="1"/>
      <c r="B4" s="85"/>
      <c r="C4" s="85"/>
      <c r="D4" s="85"/>
      <c r="E4" s="85"/>
      <c r="F4" s="8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4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4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46" t="s">
        <v>262</v>
      </c>
      <c r="C11" s="22">
        <v>0</v>
      </c>
      <c r="D11" s="14" t="s">
        <v>3</v>
      </c>
      <c r="E11" s="9">
        <v>2423338</v>
      </c>
      <c r="F11" s="14" t="s">
        <v>3</v>
      </c>
      <c r="G11" s="1"/>
    </row>
    <row r="12" spans="1:7" x14ac:dyDescent="0.45">
      <c r="A12" s="1"/>
      <c r="B12" s="25" t="s">
        <v>280</v>
      </c>
      <c r="C12" s="22">
        <v>81066</v>
      </c>
      <c r="D12" s="14" t="s">
        <v>3</v>
      </c>
      <c r="E12" s="9">
        <v>636562</v>
      </c>
      <c r="F12" s="14" t="s">
        <v>3</v>
      </c>
      <c r="G12" s="1"/>
    </row>
    <row r="13" spans="1:7" x14ac:dyDescent="0.45">
      <c r="A13" s="1"/>
      <c r="B13" s="38" t="s">
        <v>163</v>
      </c>
      <c r="C13" s="12">
        <f>SUM(C10:C12)</f>
        <v>81066</v>
      </c>
      <c r="D13" s="13" t="s">
        <v>3</v>
      </c>
      <c r="E13" s="12">
        <f>SUM(E10:E12)</f>
        <v>3059900</v>
      </c>
      <c r="F13" s="13" t="s">
        <v>3</v>
      </c>
      <c r="G13" s="1"/>
    </row>
    <row r="14" spans="1:7" x14ac:dyDescent="0.45">
      <c r="A14" s="1"/>
      <c r="B14" s="38" t="s">
        <v>222</v>
      </c>
      <c r="C14" s="12">
        <f>C13*(1+'Fane 14. Nøgletal'!C14)</f>
        <v>81333.517800000001</v>
      </c>
      <c r="D14" s="13" t="s">
        <v>3</v>
      </c>
      <c r="E14" s="12">
        <f>E13*(1+'Fane 14. Nøgletal'!C14)</f>
        <v>3069997.6700000004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gyTn978I3uQ3nFSNYK/W2MGUyCaek6XE3BrasN9rw5UM5uoFBBuY4fGdFbXeGcmVWIhnwumUtIWU36c8kpXhEQ==" saltValue="1P4ftoS1281eZZAwgPQ7l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3984375" style="2" bestFit="1" customWidth="1"/>
    <col min="5" max="5" width="17.73046875" style="2" bestFit="1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5" t="s">
        <v>134</v>
      </c>
      <c r="C3" s="85"/>
      <c r="D3" s="85"/>
      <c r="E3" s="85"/>
      <c r="F3" s="85"/>
      <c r="G3" s="1"/>
    </row>
    <row r="4" spans="1:7" ht="15" customHeight="1" x14ac:dyDescent="0.45">
      <c r="A4" s="1"/>
      <c r="B4" s="85"/>
      <c r="C4" s="85"/>
      <c r="D4" s="85"/>
      <c r="E4" s="85"/>
      <c r="F4" s="8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7" t="s">
        <v>112</v>
      </c>
      <c r="C8" s="98"/>
      <c r="D8" s="98"/>
      <c r="E8" s="98"/>
      <c r="F8" s="99"/>
      <c r="G8" s="1"/>
    </row>
    <row r="9" spans="1:7" x14ac:dyDescent="0.4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45">
      <c r="A10" s="1"/>
      <c r="B10" s="25" t="s">
        <v>281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4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7" t="s">
        <v>113</v>
      </c>
      <c r="C16" s="98"/>
      <c r="D16" s="98"/>
      <c r="E16" s="98"/>
      <c r="F16" s="99"/>
      <c r="G16" s="1"/>
    </row>
    <row r="17" spans="1:7" x14ac:dyDescent="0.45">
      <c r="A17" s="1"/>
      <c r="B17" s="53" t="s">
        <v>18</v>
      </c>
      <c r="C17" s="53" t="s">
        <v>12</v>
      </c>
      <c r="D17" s="54"/>
      <c r="E17" s="53" t="s">
        <v>34</v>
      </c>
      <c r="F17" s="37"/>
      <c r="G17" s="1"/>
    </row>
    <row r="18" spans="1:7" x14ac:dyDescent="0.45">
      <c r="A18" s="1"/>
      <c r="B18" s="25" t="s">
        <v>281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4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7" t="s">
        <v>166</v>
      </c>
      <c r="C24" s="98"/>
      <c r="D24" s="98"/>
      <c r="E24" s="98"/>
      <c r="F24" s="99"/>
      <c r="G24" s="1"/>
    </row>
    <row r="25" spans="1:7" x14ac:dyDescent="0.45">
      <c r="A25" s="1"/>
      <c r="B25" s="53" t="s">
        <v>18</v>
      </c>
      <c r="C25" s="53" t="s">
        <v>12</v>
      </c>
      <c r="D25" s="54"/>
      <c r="E25" s="53" t="s">
        <v>34</v>
      </c>
      <c r="F25" s="37"/>
      <c r="G25" s="1"/>
    </row>
    <row r="26" spans="1:7" x14ac:dyDescent="0.45">
      <c r="A26" s="1"/>
      <c r="B26" s="25" t="s">
        <v>281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4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7" t="s">
        <v>224</v>
      </c>
      <c r="C32" s="98"/>
      <c r="D32" s="98"/>
      <c r="E32" s="98"/>
      <c r="F32" s="99"/>
      <c r="G32" s="1"/>
    </row>
    <row r="33" spans="1:7" x14ac:dyDescent="0.45">
      <c r="A33" s="1"/>
      <c r="B33" s="53" t="s">
        <v>18</v>
      </c>
      <c r="C33" s="53" t="s">
        <v>12</v>
      </c>
      <c r="D33" s="54"/>
      <c r="E33" s="53" t="s">
        <v>34</v>
      </c>
      <c r="F33" s="37"/>
      <c r="G33" s="1"/>
    </row>
    <row r="34" spans="1:7" x14ac:dyDescent="0.45">
      <c r="A34" s="1"/>
      <c r="B34" s="25" t="s">
        <v>281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4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joo/6hWjrJYEhEpGM6uvgqcS8/a1BGBZUAcYLfSedQgnOu36JK6Dx8sZN1U7EuMoDZPR/cjN7AtI6qDapIWm9A==" saltValue="0cSedOC+9O8ke6b39ISMx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0" t="s">
        <v>136</v>
      </c>
      <c r="C3" s="90"/>
      <c r="D3" s="90"/>
      <c r="E3" s="90"/>
      <c r="F3" s="90"/>
      <c r="G3" s="1"/>
    </row>
    <row r="4" spans="1:7" ht="15" customHeight="1" x14ac:dyDescent="0.45">
      <c r="A4" s="1"/>
      <c r="B4" s="90"/>
      <c r="C4" s="90"/>
      <c r="D4" s="90"/>
      <c r="E4" s="90"/>
      <c r="F4" s="90"/>
      <c r="G4" s="1"/>
    </row>
    <row r="5" spans="1:7" x14ac:dyDescent="0.45">
      <c r="A5" s="1"/>
      <c r="B5" s="90"/>
      <c r="C5" s="90"/>
      <c r="D5" s="90"/>
      <c r="E5" s="90"/>
      <c r="F5" s="90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7" t="s">
        <v>103</v>
      </c>
      <c r="C8" s="98"/>
      <c r="D8" s="98"/>
      <c r="E8" s="98"/>
      <c r="F8" s="99"/>
      <c r="G8" s="1"/>
    </row>
    <row r="9" spans="1:7" x14ac:dyDescent="0.45">
      <c r="A9" s="1"/>
      <c r="B9" s="122" t="s">
        <v>226</v>
      </c>
      <c r="C9" s="123"/>
      <c r="D9" s="124"/>
      <c r="E9" s="9">
        <v>468670.70057202643</v>
      </c>
      <c r="F9" s="14" t="s">
        <v>3</v>
      </c>
      <c r="G9" s="1"/>
    </row>
    <row r="10" spans="1:7" x14ac:dyDescent="0.45">
      <c r="A10" s="1"/>
      <c r="B10" s="91" t="s">
        <v>10</v>
      </c>
      <c r="C10" s="92"/>
      <c r="D10" s="93"/>
      <c r="E10" s="9">
        <f>-E9*'Fane 5. Individuelt eff. krav'!G12</f>
        <v>-4964.8204720707445</v>
      </c>
      <c r="F10" s="14" t="s">
        <v>3</v>
      </c>
      <c r="G10" s="1"/>
    </row>
    <row r="11" spans="1:7" x14ac:dyDescent="0.45">
      <c r="A11" s="1"/>
      <c r="B11" s="91" t="s">
        <v>26</v>
      </c>
      <c r="C11" s="92"/>
      <c r="D11" s="93"/>
      <c r="E11" s="9">
        <f>-E9*'Fane 14. Nøgletal'!C29</f>
        <v>-9373.4140114405291</v>
      </c>
      <c r="F11" s="14" t="s">
        <v>3</v>
      </c>
      <c r="G11" s="1"/>
    </row>
    <row r="12" spans="1:7" x14ac:dyDescent="0.45">
      <c r="A12" s="1"/>
      <c r="B12" s="97" t="s">
        <v>105</v>
      </c>
      <c r="C12" s="98"/>
      <c r="D12" s="99"/>
      <c r="E12" s="12">
        <f>SUM(E9:E11)*(1+'Fane 14. Nøgletal'!C14)^2</f>
        <v>457336.00804525509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7" t="s">
        <v>104</v>
      </c>
      <c r="C14" s="98"/>
      <c r="D14" s="98"/>
      <c r="E14" s="98"/>
      <c r="F14" s="99"/>
      <c r="G14" s="1"/>
    </row>
    <row r="15" spans="1:7" ht="15" customHeight="1" x14ac:dyDescent="0.45">
      <c r="A15" s="1"/>
      <c r="B15" s="122" t="s">
        <v>226</v>
      </c>
      <c r="C15" s="123"/>
      <c r="D15" s="124"/>
      <c r="E15" s="9">
        <v>468670.70057202643</v>
      </c>
      <c r="F15" s="14" t="s">
        <v>3</v>
      </c>
      <c r="G15" s="1"/>
    </row>
    <row r="16" spans="1:7" x14ac:dyDescent="0.45">
      <c r="A16" s="1"/>
      <c r="B16" s="91" t="s">
        <v>10</v>
      </c>
      <c r="C16" s="92"/>
      <c r="D16" s="93"/>
      <c r="E16" s="9">
        <f>-E15*'Fane 5. Individuelt eff. krav'!G12</f>
        <v>-4964.8204720707445</v>
      </c>
      <c r="F16" s="14" t="s">
        <v>3</v>
      </c>
      <c r="G16" s="1"/>
    </row>
    <row r="17" spans="1:7" x14ac:dyDescent="0.45">
      <c r="A17" s="1"/>
      <c r="B17" s="91" t="s">
        <v>26</v>
      </c>
      <c r="C17" s="92"/>
      <c r="D17" s="93"/>
      <c r="E17" s="9">
        <f>-E15*'Fane 14. Nøgletal'!C29</f>
        <v>-9373.4140114405291</v>
      </c>
      <c r="F17" s="14" t="s">
        <v>3</v>
      </c>
      <c r="G17" s="1"/>
    </row>
    <row r="18" spans="1:7" x14ac:dyDescent="0.45">
      <c r="A18" s="1"/>
      <c r="B18" s="97" t="s">
        <v>106</v>
      </c>
      <c r="C18" s="98"/>
      <c r="D18" s="99"/>
      <c r="E18" s="12">
        <f>SUM(E15:E17)*(1+'Fane 14. Nøgletal'!C14)^3</f>
        <v>458845.2168718045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7" t="s">
        <v>155</v>
      </c>
      <c r="C20" s="98"/>
      <c r="D20" s="98"/>
      <c r="E20" s="98"/>
      <c r="F20" s="99"/>
      <c r="G20" s="1"/>
    </row>
    <row r="21" spans="1:7" ht="15" customHeight="1" x14ac:dyDescent="0.45">
      <c r="A21" s="1"/>
      <c r="B21" s="122" t="s">
        <v>226</v>
      </c>
      <c r="C21" s="123"/>
      <c r="D21" s="124"/>
      <c r="E21" s="9">
        <v>468670.70057202643</v>
      </c>
      <c r="F21" s="14" t="s">
        <v>3</v>
      </c>
      <c r="G21" s="1"/>
    </row>
    <row r="22" spans="1:7" x14ac:dyDescent="0.45">
      <c r="A22" s="1"/>
      <c r="B22" s="91" t="s">
        <v>10</v>
      </c>
      <c r="C22" s="92"/>
      <c r="D22" s="93"/>
      <c r="E22" s="9">
        <f>-E21*'Fane 5. Individuelt eff. krav'!G12</f>
        <v>-4964.8204720707445</v>
      </c>
      <c r="F22" s="14" t="s">
        <v>3</v>
      </c>
      <c r="G22" s="1"/>
    </row>
    <row r="23" spans="1:7" x14ac:dyDescent="0.45">
      <c r="A23" s="1"/>
      <c r="B23" s="91" t="s">
        <v>26</v>
      </c>
      <c r="C23" s="92"/>
      <c r="D23" s="93"/>
      <c r="E23" s="9">
        <f>-E21*'Fane 14. Nøgletal'!C29</f>
        <v>-9373.4140114405291</v>
      </c>
      <c r="F23" s="14" t="s">
        <v>3</v>
      </c>
      <c r="G23" s="1"/>
    </row>
    <row r="24" spans="1:7" x14ac:dyDescent="0.45">
      <c r="A24" s="1"/>
      <c r="B24" s="97" t="s">
        <v>156</v>
      </c>
      <c r="C24" s="98"/>
      <c r="D24" s="99"/>
      <c r="E24" s="12">
        <f>SUM(E21:E23)*(1+'Fane 14. Nøgletal'!C14)^4</f>
        <v>460359.40608748147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7" t="s">
        <v>227</v>
      </c>
      <c r="C26" s="98"/>
      <c r="D26" s="98"/>
      <c r="E26" s="98"/>
      <c r="F26" s="99"/>
      <c r="G26" s="1"/>
    </row>
    <row r="27" spans="1:7" ht="15" customHeight="1" x14ac:dyDescent="0.45">
      <c r="A27" s="1"/>
      <c r="B27" s="122" t="s">
        <v>226</v>
      </c>
      <c r="C27" s="123"/>
      <c r="D27" s="124"/>
      <c r="E27" s="9">
        <v>468670.70057202643</v>
      </c>
      <c r="F27" s="14" t="s">
        <v>3</v>
      </c>
      <c r="G27" s="1"/>
    </row>
    <row r="28" spans="1:7" x14ac:dyDescent="0.45">
      <c r="A28" s="1"/>
      <c r="B28" s="91" t="s">
        <v>10</v>
      </c>
      <c r="C28" s="92"/>
      <c r="D28" s="93"/>
      <c r="E28" s="9">
        <f>-E27*'Fane 5. Individuelt eff. krav'!G12</f>
        <v>-4964.8204720707445</v>
      </c>
      <c r="F28" s="14" t="s">
        <v>3</v>
      </c>
      <c r="G28" s="1"/>
    </row>
    <row r="29" spans="1:7" x14ac:dyDescent="0.45">
      <c r="A29" s="1"/>
      <c r="B29" s="91" t="s">
        <v>26</v>
      </c>
      <c r="C29" s="92"/>
      <c r="D29" s="93"/>
      <c r="E29" s="9">
        <f>-E27*'Fane 14. Nøgletal'!C29</f>
        <v>-9373.4140114405291</v>
      </c>
      <c r="F29" s="14" t="s">
        <v>3</v>
      </c>
      <c r="G29" s="1"/>
    </row>
    <row r="30" spans="1:7" x14ac:dyDescent="0.45">
      <c r="A30" s="1"/>
      <c r="B30" s="97" t="s">
        <v>228</v>
      </c>
      <c r="C30" s="98"/>
      <c r="D30" s="99"/>
      <c r="E30" s="12">
        <f>SUM(E27:E29)*(1+'Fane 14. Nøgletal'!C14)^5</f>
        <v>461878.59212757018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2igmwfl2b6Zu66izPcplaFSG5giX1SmczjXFv9LZFBkLW0oyE+0Y8bS3U0ecgAbDhb03OBbd9RJIjdebEOCX4w==" saltValue="/hJTfp+a/9ERO8Kd25HNTw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36.3984375" style="2" customWidth="1"/>
    <col min="3" max="3" width="15.59765625" style="2" customWidth="1"/>
    <col min="4" max="4" width="3.265625" style="2" customWidth="1"/>
    <col min="5" max="5" width="17.13281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0" t="s">
        <v>157</v>
      </c>
      <c r="C3" s="90"/>
      <c r="D3" s="90"/>
      <c r="E3" s="90"/>
      <c r="F3" s="90"/>
      <c r="G3" s="1"/>
    </row>
    <row r="4" spans="1:7" ht="25.5" customHeight="1" x14ac:dyDescent="0.45">
      <c r="A4" s="1"/>
      <c r="B4" s="90"/>
      <c r="C4" s="90"/>
      <c r="D4" s="90"/>
      <c r="E4" s="90"/>
      <c r="F4" s="9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7" t="s">
        <v>158</v>
      </c>
      <c r="C8" s="98"/>
      <c r="D8" s="98"/>
      <c r="E8" s="98"/>
      <c r="F8" s="99"/>
      <c r="G8" s="1"/>
    </row>
    <row r="9" spans="1:7" ht="15" customHeight="1" x14ac:dyDescent="0.4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TgVqT2RCFMU1nyTGBYvFZ3Z9vnub7YZY+K0TVrzWB1r1xrcomCjrt7xQrfpP2+8ao933N+kRNcK6qgGArQ1S9A==" saltValue="noc8ErMYxlg/ZqlhGugDC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0" t="s">
        <v>133</v>
      </c>
      <c r="C3" s="90"/>
      <c r="D3" s="90"/>
      <c r="E3" s="90"/>
      <c r="F3" s="90"/>
      <c r="G3" s="1"/>
    </row>
    <row r="4" spans="1:7" ht="25.5" customHeight="1" x14ac:dyDescent="0.45">
      <c r="A4" s="1"/>
      <c r="B4" s="90"/>
      <c r="C4" s="90"/>
      <c r="D4" s="90"/>
      <c r="E4" s="90"/>
      <c r="F4" s="9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7" t="s">
        <v>107</v>
      </c>
      <c r="C8" s="98"/>
      <c r="D8" s="98"/>
      <c r="E8" s="98"/>
      <c r="F8" s="99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7" t="s">
        <v>108</v>
      </c>
      <c r="C14" s="98"/>
      <c r="D14" s="98"/>
      <c r="E14" s="98"/>
      <c r="F14" s="99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45">
      <c r="A16" s="1"/>
      <c r="B16" s="25" t="s">
        <v>267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7" t="s">
        <v>169</v>
      </c>
      <c r="C20" s="98"/>
      <c r="D20" s="98"/>
      <c r="E20" s="98"/>
      <c r="F20" s="99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45">
      <c r="A22" s="1"/>
      <c r="B22" s="25" t="s">
        <v>267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7" t="s">
        <v>231</v>
      </c>
      <c r="C26" s="98"/>
      <c r="D26" s="98"/>
      <c r="E26" s="98"/>
      <c r="F26" s="99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45">
      <c r="A28" s="1"/>
      <c r="B28" s="25" t="s">
        <v>267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zIY00PNoeMKByTd3/vebTHnoeFFeI4OJhWzEgHy9bFSKFp0f2peNMJkt2+1AdJS9ACFJFc6wVROj8irHuXWy6g==" saltValue="5Mh1P4bPWgY1yoc7BrxV7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398437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0" t="s">
        <v>189</v>
      </c>
      <c r="C3" s="90"/>
      <c r="D3" s="1"/>
    </row>
    <row r="4" spans="1:4" ht="25.5" customHeight="1" x14ac:dyDescent="0.45">
      <c r="A4" s="1"/>
      <c r="B4" s="90"/>
      <c r="C4" s="90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63" t="s">
        <v>137</v>
      </c>
      <c r="C9" s="26">
        <v>1.2699999999999999E-2</v>
      </c>
      <c r="D9" s="1"/>
    </row>
    <row r="10" spans="1:4" x14ac:dyDescent="0.45">
      <c r="A10" s="1"/>
      <c r="B10" s="63" t="s">
        <v>138</v>
      </c>
      <c r="C10" s="26">
        <v>1.7500000000000002E-2</v>
      </c>
      <c r="D10" s="1"/>
    </row>
    <row r="11" spans="1:4" x14ac:dyDescent="0.45">
      <c r="A11" s="1"/>
      <c r="B11" s="63" t="s">
        <v>24</v>
      </c>
      <c r="C11" s="26">
        <v>1.6899999999999998E-2</v>
      </c>
      <c r="D11" s="1"/>
    </row>
    <row r="12" spans="1:4" x14ac:dyDescent="0.45">
      <c r="A12" s="1"/>
      <c r="B12" s="39" t="s">
        <v>254</v>
      </c>
      <c r="C12" s="40">
        <v>1.9699999999999999E-2</v>
      </c>
      <c r="D12" s="1"/>
    </row>
    <row r="13" spans="1:4" x14ac:dyDescent="0.45">
      <c r="A13" s="1"/>
      <c r="B13" s="39" t="s">
        <v>162</v>
      </c>
      <c r="C13" s="40">
        <v>1.2200000000000001E-2</v>
      </c>
      <c r="D13" s="1"/>
    </row>
    <row r="14" spans="1:4" x14ac:dyDescent="0.45">
      <c r="A14" s="1"/>
      <c r="B14" s="63" t="s">
        <v>253</v>
      </c>
      <c r="C14" s="49">
        <v>3.3E-3</v>
      </c>
      <c r="D14" s="1"/>
    </row>
    <row r="15" spans="1:4" x14ac:dyDescent="0.45">
      <c r="A15" s="1"/>
      <c r="B15" s="38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8" t="s">
        <v>121</v>
      </c>
      <c r="C18" s="20"/>
      <c r="D18" s="1"/>
    </row>
    <row r="19" spans="1:4" x14ac:dyDescent="0.45">
      <c r="A19" s="1"/>
      <c r="B19" s="63" t="s">
        <v>139</v>
      </c>
      <c r="C19" s="23">
        <v>9.1000000000000004E-3</v>
      </c>
      <c r="D19" s="1"/>
    </row>
    <row r="20" spans="1:4" x14ac:dyDescent="0.45">
      <c r="A20" s="1"/>
      <c r="B20" s="63" t="s">
        <v>190</v>
      </c>
      <c r="C20" s="23">
        <v>1.77E-2</v>
      </c>
      <c r="D20" s="1"/>
    </row>
    <row r="21" spans="1:4" x14ac:dyDescent="0.45">
      <c r="A21" s="1"/>
      <c r="B21" s="63" t="s">
        <v>191</v>
      </c>
      <c r="C21" s="23">
        <v>8.6999999999999994E-3</v>
      </c>
      <c r="D21" s="1"/>
    </row>
    <row r="22" spans="1:4" x14ac:dyDescent="0.45">
      <c r="A22" s="1"/>
      <c r="B22" s="63" t="s">
        <v>140</v>
      </c>
      <c r="C22" s="41">
        <v>2.8400000000000002E-2</v>
      </c>
      <c r="D22" s="1"/>
    </row>
    <row r="23" spans="1:4" x14ac:dyDescent="0.45">
      <c r="A23" s="1"/>
      <c r="B23" s="63" t="s">
        <v>192</v>
      </c>
      <c r="C23" s="41">
        <v>2.75E-2</v>
      </c>
      <c r="D23" s="1"/>
    </row>
    <row r="24" spans="1:4" x14ac:dyDescent="0.45">
      <c r="A24" s="1"/>
      <c r="B24" s="63" t="s">
        <v>193</v>
      </c>
      <c r="C24" s="41">
        <v>1.4800000000000001E-2</v>
      </c>
      <c r="D24" s="1"/>
    </row>
    <row r="25" spans="1:4" x14ac:dyDescent="0.45">
      <c r="A25" s="1"/>
      <c r="B25" s="38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8" t="s">
        <v>122</v>
      </c>
      <c r="C28" s="20"/>
      <c r="D28" s="1"/>
    </row>
    <row r="29" spans="1:4" x14ac:dyDescent="0.45">
      <c r="A29" s="1"/>
      <c r="B29" s="63" t="s">
        <v>141</v>
      </c>
      <c r="C29" s="26">
        <v>0.02</v>
      </c>
      <c r="D29" s="1"/>
    </row>
    <row r="30" spans="1:4" x14ac:dyDescent="0.45">
      <c r="A30" s="1"/>
      <c r="B30" s="38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GZZ4QSY94JYYwkztn3hooeaWTQ2Ko+7G8X36LtbM5vjPm7Oro6kDFNxMblF//6AV56fvuRwzW3WGAIefc5cB7g==" saltValue="i+78qPFDklNohfnS64Gw2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8.59765625" style="2" customWidth="1"/>
    <col min="3" max="3" width="12.59765625" style="2" customWidth="1"/>
    <col min="4" max="4" width="2.86328125" style="2" bestFit="1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5" t="s">
        <v>194</v>
      </c>
      <c r="C3" s="85"/>
      <c r="D3" s="85"/>
      <c r="E3" s="1"/>
    </row>
    <row r="4" spans="1:5" ht="15" customHeight="1" x14ac:dyDescent="0.45">
      <c r="A4" s="1"/>
      <c r="B4" s="85"/>
      <c r="C4" s="85"/>
      <c r="D4" s="85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260</v>
      </c>
      <c r="C9" s="7">
        <f>'Fane 3. Omkostninger i ØR2021'!E20</f>
        <v>140500589.92465529</v>
      </c>
      <c r="D9" s="8" t="s">
        <v>3</v>
      </c>
      <c r="E9" s="1"/>
    </row>
    <row r="10" spans="1:5" ht="17.100000000000001" customHeight="1" x14ac:dyDescent="0.45">
      <c r="A10" s="1"/>
      <c r="B10" s="52" t="s">
        <v>43</v>
      </c>
      <c r="C10" s="7">
        <f>'Fane 10.1. Varige tillæg'!C14</f>
        <v>81333.517800000001</v>
      </c>
      <c r="D10" s="8" t="s">
        <v>3</v>
      </c>
      <c r="E10" s="1"/>
    </row>
    <row r="11" spans="1:5" ht="17.100000000000001" customHeight="1" x14ac:dyDescent="0.45">
      <c r="A11" s="1"/>
      <c r="B11" s="52" t="s">
        <v>44</v>
      </c>
      <c r="C11" s="9">
        <f>'Fane 10.1. Varige tillæg'!E14</f>
        <v>3069997.6700000004</v>
      </c>
      <c r="D11" s="8" t="s">
        <v>3</v>
      </c>
      <c r="E11" s="1"/>
    </row>
    <row r="12" spans="1:5" ht="17.100000000000001" customHeight="1" x14ac:dyDescent="0.45">
      <c r="A12" s="1"/>
      <c r="B12" s="52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52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52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52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52" t="s">
        <v>20</v>
      </c>
      <c r="C16" s="9">
        <f>SUM(C9:C15)*'Fane 14. Nøgletal'!C14</f>
        <v>474051.33967110241</v>
      </c>
      <c r="D16" s="8" t="s">
        <v>3</v>
      </c>
      <c r="E16" s="1"/>
    </row>
    <row r="17" spans="1:5" ht="17.100000000000001" customHeight="1" x14ac:dyDescent="0.45">
      <c r="A17" s="1"/>
      <c r="B17" s="52" t="s">
        <v>10</v>
      </c>
      <c r="C17" s="9">
        <f>-SUM(C9:C16)*'Fane 5. Individuelt eff. krav'!G12</f>
        <v>-1526785.3904971222</v>
      </c>
      <c r="D17" s="8" t="s">
        <v>3</v>
      </c>
      <c r="E17" s="1"/>
    </row>
    <row r="18" spans="1:5" ht="17.100000000000001" customHeight="1" x14ac:dyDescent="0.45">
      <c r="A18" s="1"/>
      <c r="B18" s="52" t="s">
        <v>26</v>
      </c>
      <c r="C18" s="9">
        <f>-'Fane 4.1. Gen. krav - drift'!G38</f>
        <v>-873590.82320580713</v>
      </c>
      <c r="D18" s="8" t="s">
        <v>3</v>
      </c>
      <c r="E18" s="1"/>
    </row>
    <row r="19" spans="1:5" ht="17.100000000000001" customHeight="1" x14ac:dyDescent="0.45">
      <c r="A19" s="1"/>
      <c r="B19" s="52" t="s">
        <v>27</v>
      </c>
      <c r="C19" s="9">
        <f>-'Fane 4.2. Gen. krav - anlæg'!G37</f>
        <v>-1690947.1001019396</v>
      </c>
      <c r="D19" s="8" t="s">
        <v>3</v>
      </c>
      <c r="E19" s="1"/>
    </row>
    <row r="20" spans="1:5" ht="17.100000000000001" customHeight="1" x14ac:dyDescent="0.45">
      <c r="A20" s="1"/>
      <c r="B20" s="58" t="s">
        <v>22</v>
      </c>
      <c r="C20" s="10">
        <f>SUM(C9:C19)</f>
        <v>140034649.13832152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omk.'!C15+'Fane 6. Ikke-påvirkelige omk.'!C19+'Fane 6. Ikke-påvirkelige omk.'!C27</f>
        <v>4821905.4067194648</v>
      </c>
      <c r="D22" s="11" t="s">
        <v>3</v>
      </c>
      <c r="E22" s="1"/>
    </row>
    <row r="23" spans="1:5" ht="15" customHeight="1" x14ac:dyDescent="0.45">
      <c r="A23" s="1"/>
      <c r="B23" s="38" t="s">
        <v>94</v>
      </c>
      <c r="C23" s="32"/>
      <c r="D23" s="20"/>
      <c r="E23" s="1"/>
    </row>
    <row r="24" spans="1:5" ht="15" customHeight="1" x14ac:dyDescent="0.45">
      <c r="A24" s="1"/>
      <c r="B24" s="58" t="s">
        <v>94</v>
      </c>
      <c r="C24" s="10">
        <f>'Fane 11. Periodevise driftsomk.'!E12</f>
        <v>457336.00804525509</v>
      </c>
      <c r="D24" s="11" t="s">
        <v>3</v>
      </c>
      <c r="E24" s="1"/>
    </row>
    <row r="25" spans="1:5" ht="15" customHeight="1" x14ac:dyDescent="0.45">
      <c r="A25" s="1"/>
      <c r="B25" s="38" t="s">
        <v>93</v>
      </c>
      <c r="C25" s="32"/>
      <c r="D25" s="20"/>
      <c r="E25" s="1"/>
    </row>
    <row r="26" spans="1:5" ht="15" customHeight="1" x14ac:dyDescent="0.45">
      <c r="A26" s="1"/>
      <c r="B26" s="52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52" t="s">
        <v>90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58" t="s">
        <v>95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187</v>
      </c>
      <c r="C29" s="32"/>
      <c r="D29" s="20"/>
      <c r="E29" s="1"/>
    </row>
    <row r="30" spans="1:5" x14ac:dyDescent="0.45">
      <c r="A30" s="1"/>
      <c r="B30" s="36" t="s">
        <v>286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45">
      <c r="A31" s="1"/>
      <c r="B31" s="38" t="s">
        <v>195</v>
      </c>
      <c r="C31" s="32"/>
      <c r="D31" s="20"/>
      <c r="E31" s="1"/>
    </row>
    <row r="32" spans="1:5" x14ac:dyDescent="0.45">
      <c r="A32" s="1"/>
      <c r="B32" s="36" t="s">
        <v>195</v>
      </c>
      <c r="C32" s="10">
        <f>'Fane 8. Korrektion af ØR2020'!E17</f>
        <v>820703</v>
      </c>
      <c r="D32" s="11" t="s">
        <v>3</v>
      </c>
      <c r="E32" s="1"/>
    </row>
    <row r="33" spans="1:5" x14ac:dyDescent="0.45">
      <c r="A33" s="1"/>
      <c r="B33" s="35" t="s">
        <v>258</v>
      </c>
      <c r="C33" s="32"/>
      <c r="D33" s="20"/>
      <c r="E33" s="1"/>
    </row>
    <row r="34" spans="1:5" x14ac:dyDescent="0.45">
      <c r="A34" s="1"/>
      <c r="B34" s="64" t="s">
        <v>259</v>
      </c>
      <c r="C34" s="10">
        <v>0</v>
      </c>
      <c r="D34" s="11" t="s">
        <v>3</v>
      </c>
      <c r="E34" s="1"/>
    </row>
    <row r="35" spans="1:5" x14ac:dyDescent="0.45">
      <c r="A35" s="1"/>
      <c r="B35" s="38" t="s">
        <v>32</v>
      </c>
      <c r="C35" s="34">
        <f>SUM(C32,C30,C28,C24,C22,C20)</f>
        <v>146134593.55308625</v>
      </c>
      <c r="D35" s="35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OuGLzJjGHxNZBfRlpbLgzHnJxyBI9t6ypnWRznEH/zzkAfWdAQ/Z9GTuDiFBzpmn+bKD4WyDbdxVS7fPI2+7fg==" saltValue="U6WlVDP9TEAJ3Rw0Kx8cB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2656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5" t="s">
        <v>196</v>
      </c>
      <c r="C3" s="85"/>
      <c r="D3" s="85"/>
      <c r="E3" s="1"/>
    </row>
    <row r="4" spans="1:5" ht="15" customHeight="1" x14ac:dyDescent="0.45">
      <c r="A4" s="1"/>
      <c r="B4" s="85"/>
      <c r="C4" s="85"/>
      <c r="D4" s="85"/>
      <c r="E4" s="1"/>
    </row>
    <row r="5" spans="1:5" x14ac:dyDescent="0.45">
      <c r="A5" s="1"/>
      <c r="B5" s="86" t="s">
        <v>23</v>
      </c>
      <c r="C5" s="86"/>
      <c r="D5" s="86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151</v>
      </c>
      <c r="C9" s="7">
        <f>'Fane 2.1. Økonomisk ramme 2022'!C20</f>
        <v>140034649.13832152</v>
      </c>
      <c r="D9" s="8" t="s">
        <v>3</v>
      </c>
      <c r="E9" s="1"/>
    </row>
    <row r="10" spans="1:5" ht="15" customHeight="1" x14ac:dyDescent="0.45">
      <c r="A10" s="1"/>
      <c r="B10" s="52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52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462114.34215646103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-1488339.6950912203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drift'!G45</f>
        <v>-858944.1994639386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anlæg'!G44</f>
        <v>-1671418.6225943984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136478060.96332845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Nøgletal'!C14)+'Fane 6. Ikke-påvirkelige omk.'!C20+'Fane 6. Ikke-påvirkelige omk.'!C28</f>
        <v>3296163.9706616397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8" t="s">
        <v>94</v>
      </c>
      <c r="C20" s="10">
        <f>'Fane 11. Periodevise driftsomk.'!E18</f>
        <v>458845.2168718045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2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52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187</v>
      </c>
      <c r="C25" s="32"/>
      <c r="D25" s="20"/>
      <c r="E25" s="1"/>
    </row>
    <row r="26" spans="1:5" ht="15" customHeight="1" x14ac:dyDescent="0.45">
      <c r="A26" s="1"/>
      <c r="B26" s="36" t="s">
        <v>286</v>
      </c>
      <c r="C26" s="10">
        <f>'Fane 7. Kontrol af ØR2020'!E34</f>
        <v>0</v>
      </c>
      <c r="D26" s="11" t="s">
        <v>3</v>
      </c>
      <c r="E26" s="1"/>
    </row>
    <row r="27" spans="1:5" x14ac:dyDescent="0.45">
      <c r="A27" s="1"/>
      <c r="B27" s="35" t="s">
        <v>258</v>
      </c>
      <c r="C27" s="32"/>
      <c r="D27" s="20"/>
      <c r="E27" s="1"/>
    </row>
    <row r="28" spans="1:5" x14ac:dyDescent="0.45">
      <c r="A28" s="1"/>
      <c r="B28" s="64" t="s">
        <v>259</v>
      </c>
      <c r="C28" s="10">
        <v>0</v>
      </c>
      <c r="D28" s="11" t="s">
        <v>3</v>
      </c>
      <c r="E28" s="1"/>
    </row>
    <row r="29" spans="1:5" x14ac:dyDescent="0.45">
      <c r="A29" s="1"/>
      <c r="B29" s="38" t="s">
        <v>102</v>
      </c>
      <c r="C29" s="12">
        <f>SUM(C16,C18,C20,C24,C26,C28)</f>
        <v>140233070.15086189</v>
      </c>
      <c r="D29" s="1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33hRzBkBxKCvb1wlnBfMOTivQw38GXYcX0B/lGFNP/n0akNco5JSREHUrN5yShSo/ETjTnga8AAoIW45uFN54Q==" saltValue="Wa4nFtxpNnstWyBq0yuQJ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5" t="s">
        <v>197</v>
      </c>
      <c r="C3" s="85"/>
      <c r="D3" s="85"/>
      <c r="E3" s="1"/>
    </row>
    <row r="4" spans="1:5" ht="15" customHeight="1" x14ac:dyDescent="0.45">
      <c r="A4" s="1"/>
      <c r="B4" s="85"/>
      <c r="C4" s="85"/>
      <c r="D4" s="85"/>
      <c r="E4" s="1"/>
    </row>
    <row r="5" spans="1:5" x14ac:dyDescent="0.45">
      <c r="A5" s="1"/>
      <c r="B5" s="86" t="s">
        <v>23</v>
      </c>
      <c r="C5" s="86"/>
      <c r="D5" s="86"/>
      <c r="E5" s="1"/>
    </row>
    <row r="6" spans="1:5" x14ac:dyDescent="0.45">
      <c r="A6" s="1"/>
      <c r="B6" s="50"/>
      <c r="C6" s="50"/>
      <c r="D6" s="50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152</v>
      </c>
      <c r="C9" s="7">
        <f>'Fane 2.2. Økonomisk ramme 2023'!C16</f>
        <v>136478060.96332845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450377.60117898387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-1450538.9693957849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drift'!G53</f>
        <v>-844543.14101572614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anlæg'!G55</f>
        <v>-1652115.6763490355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132981240.77774687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Nøgletal'!C14)^2+'Fane 6. Ikke-påvirkelige omk.'!C21+'Fane 6. Ikke-påvirkelige omk.'!C29</f>
        <v>3307041.3117648233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8" t="s">
        <v>94</v>
      </c>
      <c r="C20" s="10">
        <f>'Fane 11. Periodevise driftsomk.'!E24</f>
        <v>460359.40608748147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2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52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4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153</v>
      </c>
      <c r="C27" s="12">
        <f>SUM(C16,C18,C20,C24,C26)</f>
        <v>136748641.49559918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CK/MyxFtl2VgnJs2nCVTm/fS9VFAdILbXF6ekwvTC6fcvUFhytToQS8BDYzMt3265Zh9Td8iOnX7nuWDjpMTNg==" saltValue="NqQaoYhHTxMOiGOolpOUH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97656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5" t="s">
        <v>198</v>
      </c>
      <c r="C3" s="85"/>
      <c r="D3" s="85"/>
      <c r="E3" s="1"/>
    </row>
    <row r="4" spans="1:5" ht="15" customHeight="1" x14ac:dyDescent="0.45">
      <c r="A4" s="1"/>
      <c r="B4" s="85"/>
      <c r="C4" s="85"/>
      <c r="D4" s="85"/>
      <c r="E4" s="1"/>
    </row>
    <row r="5" spans="1:5" x14ac:dyDescent="0.45">
      <c r="A5" s="1"/>
      <c r="B5" s="86" t="s">
        <v>23</v>
      </c>
      <c r="C5" s="86"/>
      <c r="D5" s="86"/>
      <c r="E5" s="1"/>
    </row>
    <row r="6" spans="1:5" x14ac:dyDescent="0.45">
      <c r="A6" s="1"/>
      <c r="B6" s="50"/>
      <c r="C6" s="50"/>
      <c r="D6" s="50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199</v>
      </c>
      <c r="C9" s="7">
        <f>'Fane 2.3. Økonomisk ramme 2024'!C16</f>
        <v>132981240.77774687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438838.09456656466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-1413373.4798485762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drift'!G59</f>
        <v>-830383.53071345657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anlæg'!G61</f>
        <v>-1633035.6567413888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129543286.20501001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Nøgletal'!C14)^3+'Fane 6. Ikke-påvirkelige omk.'!C22+'Fane 6. Ikke-påvirkelige omk.'!C30</f>
        <v>3317954.5480936477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8" t="s">
        <v>94</v>
      </c>
      <c r="C20" s="10">
        <f>'Fane 11. Periodevise driftsomk.'!E30</f>
        <v>461878.59212757018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2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52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4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200</v>
      </c>
      <c r="C27" s="12">
        <f>SUM(C16,C18,C20,C24,C26)</f>
        <v>133323119.34523124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bVMmCFkzeZGlJLZkLC/DKD/SX6zDKAVC0b91a6S7esHBq42a9sdA3J1xvxomr9/QDR/e1Y82LE6yqG6RXYmHiA==" saltValue="46wYyavuH2ecg8DMWiPdj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265625" style="2" customWidth="1"/>
    <col min="3" max="3" width="12" style="2" customWidth="1"/>
    <col min="4" max="4" width="31.73046875" style="2" customWidth="1"/>
    <col min="5" max="5" width="10.86328125" style="2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0" t="s">
        <v>250</v>
      </c>
      <c r="C3" s="90"/>
      <c r="D3" s="90"/>
      <c r="E3" s="90"/>
      <c r="F3" s="90"/>
      <c r="G3" s="1"/>
    </row>
    <row r="4" spans="1:7" ht="29.25" customHeight="1" x14ac:dyDescent="0.45">
      <c r="A4" s="1"/>
      <c r="B4" s="90"/>
      <c r="C4" s="90"/>
      <c r="D4" s="90"/>
      <c r="E4" s="90"/>
      <c r="F4" s="9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279</v>
      </c>
      <c r="C8" s="32"/>
      <c r="D8" s="32"/>
      <c r="E8" s="32"/>
      <c r="F8" s="20"/>
      <c r="G8" s="1"/>
    </row>
    <row r="9" spans="1:7" ht="15" customHeight="1" x14ac:dyDescent="0.45">
      <c r="A9" s="1"/>
      <c r="B9" s="87" t="s">
        <v>25</v>
      </c>
      <c r="C9" s="88"/>
      <c r="D9" s="89"/>
      <c r="E9" s="7">
        <v>141751744.56519246</v>
      </c>
      <c r="F9" s="8" t="s">
        <v>3</v>
      </c>
      <c r="G9" s="1"/>
    </row>
    <row r="10" spans="1:7" ht="15" customHeight="1" x14ac:dyDescent="0.45">
      <c r="A10" s="1"/>
      <c r="B10" s="91" t="s">
        <v>43</v>
      </c>
      <c r="C10" s="92"/>
      <c r="D10" s="93"/>
      <c r="E10" s="7">
        <v>21174.211800000001</v>
      </c>
      <c r="F10" s="8" t="s">
        <v>3</v>
      </c>
      <c r="G10" s="1"/>
    </row>
    <row r="11" spans="1:7" ht="15" customHeight="1" x14ac:dyDescent="0.45">
      <c r="A11" s="1"/>
      <c r="B11" s="91" t="s">
        <v>44</v>
      </c>
      <c r="C11" s="92"/>
      <c r="D11" s="93"/>
      <c r="E11" s="9">
        <v>2973087.4865999999</v>
      </c>
      <c r="F11" s="8" t="s">
        <v>3</v>
      </c>
      <c r="G11" s="1"/>
    </row>
    <row r="12" spans="1:7" ht="15" customHeight="1" x14ac:dyDescent="0.45">
      <c r="A12" s="1"/>
      <c r="B12" s="91" t="s">
        <v>29</v>
      </c>
      <c r="C12" s="92"/>
      <c r="D12" s="93"/>
      <c r="E12" s="9">
        <v>0</v>
      </c>
      <c r="F12" s="8" t="s">
        <v>3</v>
      </c>
      <c r="G12" s="1"/>
    </row>
    <row r="13" spans="1:7" ht="15" customHeight="1" x14ac:dyDescent="0.45">
      <c r="A13" s="1"/>
      <c r="B13" s="87" t="s">
        <v>28</v>
      </c>
      <c r="C13" s="88"/>
      <c r="D13" s="89"/>
      <c r="E13" s="9">
        <v>0</v>
      </c>
      <c r="F13" s="8" t="s">
        <v>3</v>
      </c>
      <c r="G13" s="1"/>
    </row>
    <row r="14" spans="1:7" ht="15" customHeight="1" x14ac:dyDescent="0.45">
      <c r="A14" s="1"/>
      <c r="B14" s="87" t="s">
        <v>31</v>
      </c>
      <c r="C14" s="88"/>
      <c r="D14" s="89"/>
      <c r="E14" s="9">
        <v>0</v>
      </c>
      <c r="F14" s="8" t="s">
        <v>3</v>
      </c>
      <c r="G14" s="1"/>
    </row>
    <row r="15" spans="1:7" ht="15" customHeight="1" x14ac:dyDescent="0.45">
      <c r="A15" s="1"/>
      <c r="B15" s="87" t="s">
        <v>30</v>
      </c>
      <c r="C15" s="88"/>
      <c r="D15" s="89"/>
      <c r="E15" s="9">
        <v>0</v>
      </c>
      <c r="F15" s="8" t="s">
        <v>3</v>
      </c>
      <c r="G15" s="1"/>
    </row>
    <row r="16" spans="1:7" ht="15" customHeight="1" x14ac:dyDescent="0.45">
      <c r="A16" s="1"/>
      <c r="B16" s="87" t="s">
        <v>20</v>
      </c>
      <c r="C16" s="88"/>
      <c r="D16" s="89"/>
      <c r="E16" s="9">
        <v>2829039.3606547713</v>
      </c>
      <c r="F16" s="8" t="s">
        <v>3</v>
      </c>
      <c r="G16" s="1"/>
    </row>
    <row r="17" spans="1:7" ht="15" customHeight="1" x14ac:dyDescent="0.45">
      <c r="A17" s="1"/>
      <c r="B17" s="87" t="s">
        <v>10</v>
      </c>
      <c r="C17" s="88"/>
      <c r="D17" s="89"/>
      <c r="E17" s="9">
        <v>-2951500.9124849453</v>
      </c>
      <c r="F17" s="8" t="s">
        <v>3</v>
      </c>
      <c r="G17" s="1"/>
    </row>
    <row r="18" spans="1:7" ht="15" customHeight="1" x14ac:dyDescent="0.45">
      <c r="A18" s="1"/>
      <c r="B18" s="87" t="s">
        <v>26</v>
      </c>
      <c r="C18" s="88"/>
      <c r="D18" s="89"/>
      <c r="E18" s="9">
        <f>-'Fane 4.1. Gen. krav - drift'!G32</f>
        <v>-886827.3318839994</v>
      </c>
      <c r="F18" s="8" t="s">
        <v>3</v>
      </c>
      <c r="G18" s="1"/>
    </row>
    <row r="19" spans="1:7" ht="15" customHeight="1" x14ac:dyDescent="0.45">
      <c r="A19" s="1"/>
      <c r="B19" s="87" t="s">
        <v>27</v>
      </c>
      <c r="C19" s="88"/>
      <c r="D19" s="89"/>
      <c r="E19" s="9">
        <f>-'Fane 4.2. Gen. krav - anlæg'!G31</f>
        <v>-3236127.4552230337</v>
      </c>
      <c r="F19" s="8" t="s">
        <v>3</v>
      </c>
      <c r="G19" s="1"/>
    </row>
    <row r="20" spans="1:7" ht="15" customHeight="1" x14ac:dyDescent="0.45">
      <c r="A20" s="1"/>
      <c r="B20" s="58" t="s">
        <v>22</v>
      </c>
      <c r="C20" s="59"/>
      <c r="D20" s="65"/>
      <c r="E20" s="10">
        <f>SUM(E9:E19)</f>
        <v>140500589.92465529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94" t="s">
        <v>13</v>
      </c>
      <c r="C22" s="95"/>
      <c r="D22" s="96"/>
      <c r="E22" s="10">
        <v>4545844.5060990006</v>
      </c>
      <c r="F22" s="11" t="s">
        <v>3</v>
      </c>
      <c r="G22" s="1"/>
    </row>
    <row r="23" spans="1:7" ht="15" customHeight="1" x14ac:dyDescent="0.45">
      <c r="A23" s="1"/>
      <c r="B23" s="97" t="s">
        <v>94</v>
      </c>
      <c r="C23" s="98"/>
      <c r="D23" s="99"/>
      <c r="E23" s="32"/>
      <c r="F23" s="32"/>
      <c r="G23" s="1"/>
    </row>
    <row r="24" spans="1:7" ht="15" customHeight="1" x14ac:dyDescent="0.45">
      <c r="A24" s="1"/>
      <c r="B24" s="58" t="s">
        <v>94</v>
      </c>
      <c r="C24" s="42"/>
      <c r="D24" s="43"/>
      <c r="E24" s="10">
        <v>460050.79657579947</v>
      </c>
      <c r="F24" s="11" t="s">
        <v>3</v>
      </c>
      <c r="G24" s="1"/>
    </row>
    <row r="25" spans="1:7" x14ac:dyDescent="0.4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45">
      <c r="A26" s="1"/>
      <c r="B26" s="91" t="s">
        <v>89</v>
      </c>
      <c r="C26" s="92"/>
      <c r="D26" s="93"/>
      <c r="E26" s="9">
        <v>0</v>
      </c>
      <c r="F26" s="8" t="s">
        <v>3</v>
      </c>
      <c r="G26" s="1"/>
    </row>
    <row r="27" spans="1:7" ht="15" customHeight="1" x14ac:dyDescent="0.45">
      <c r="A27" s="1"/>
      <c r="B27" s="91" t="s">
        <v>90</v>
      </c>
      <c r="C27" s="92"/>
      <c r="D27" s="92"/>
      <c r="E27" s="9">
        <v>0</v>
      </c>
      <c r="F27" s="8" t="s">
        <v>3</v>
      </c>
      <c r="G27" s="1"/>
    </row>
    <row r="28" spans="1:7" ht="15" customHeight="1" x14ac:dyDescent="0.45">
      <c r="A28" s="1"/>
      <c r="B28" s="100" t="s">
        <v>95</v>
      </c>
      <c r="C28" s="101"/>
      <c r="D28" s="101"/>
      <c r="E28" s="44">
        <v>0</v>
      </c>
      <c r="F28" s="11" t="s">
        <v>3</v>
      </c>
      <c r="G28" s="1"/>
    </row>
    <row r="29" spans="1:7" ht="15" customHeight="1" x14ac:dyDescent="0.4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45">
      <c r="A30" s="1"/>
      <c r="B30" s="94" t="s">
        <v>185</v>
      </c>
      <c r="C30" s="95"/>
      <c r="D30" s="95"/>
      <c r="E30" s="44">
        <v>0</v>
      </c>
      <c r="F30" s="11" t="s">
        <v>3</v>
      </c>
      <c r="G30" s="1"/>
    </row>
    <row r="31" spans="1:7" x14ac:dyDescent="0.4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45">
      <c r="A32" s="1"/>
      <c r="B32" s="94" t="s">
        <v>148</v>
      </c>
      <c r="C32" s="95"/>
      <c r="D32" s="96"/>
      <c r="E32" s="10">
        <v>221062</v>
      </c>
      <c r="F32" s="11" t="s">
        <v>3</v>
      </c>
      <c r="G32" s="1"/>
    </row>
    <row r="33" spans="1:7" x14ac:dyDescent="0.45">
      <c r="A33" s="1"/>
      <c r="B33" s="38" t="s">
        <v>251</v>
      </c>
      <c r="C33" s="32"/>
      <c r="D33" s="20"/>
      <c r="E33" s="12">
        <f>SUM(E32,E30,E28,E24,E22,E20)</f>
        <v>145727547.22733009</v>
      </c>
      <c r="F33" s="13" t="s">
        <v>3</v>
      </c>
      <c r="G33" s="1"/>
    </row>
    <row r="34" spans="1:7" ht="27" customHeight="1" x14ac:dyDescent="0.45">
      <c r="A34" s="1"/>
      <c r="B34" s="87" t="s">
        <v>252</v>
      </c>
      <c r="C34" s="88"/>
      <c r="D34" s="88"/>
      <c r="E34" s="88"/>
      <c r="F34" s="89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4Dnos7yOfpAFssbD2i1kszdIDlrMjT0sNi5jZWp7RF4YGlPM2261VI+wUhrgXJkLzu/sYY7kNglehZegWgfiVQ==" saltValue="tUxfNPtB1SAIRSK669E8ug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2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90" t="s">
        <v>130</v>
      </c>
      <c r="C1" s="90"/>
      <c r="D1" s="90"/>
      <c r="E1" s="90"/>
      <c r="F1" s="90"/>
      <c r="G1" s="90"/>
      <c r="H1" s="90"/>
      <c r="I1" s="1"/>
    </row>
    <row r="2" spans="1:9" ht="28.5" customHeight="1" x14ac:dyDescent="0.45">
      <c r="A2" s="1"/>
      <c r="B2" s="90"/>
      <c r="C2" s="90"/>
      <c r="D2" s="90"/>
      <c r="E2" s="90"/>
      <c r="F2" s="90"/>
      <c r="G2" s="90"/>
      <c r="H2" s="90"/>
      <c r="I2" s="1"/>
    </row>
    <row r="3" spans="1:9" x14ac:dyDescent="0.45">
      <c r="A3" s="1"/>
      <c r="B3" s="97" t="s">
        <v>56</v>
      </c>
      <c r="C3" s="98"/>
      <c r="D3" s="98"/>
      <c r="E3" s="98"/>
      <c r="F3" s="98"/>
      <c r="G3" s="98"/>
      <c r="H3" s="99"/>
      <c r="I3" s="1"/>
    </row>
    <row r="4" spans="1:9" x14ac:dyDescent="0.45">
      <c r="A4" s="1"/>
      <c r="B4" s="102" t="s">
        <v>45</v>
      </c>
      <c r="C4" s="103"/>
      <c r="D4" s="103"/>
      <c r="E4" s="103"/>
      <c r="F4" s="104"/>
      <c r="G4" s="24">
        <v>44655150</v>
      </c>
      <c r="H4" s="14" t="s">
        <v>3</v>
      </c>
      <c r="I4" s="1"/>
    </row>
    <row r="5" spans="1:9" x14ac:dyDescent="0.45">
      <c r="A5" s="1"/>
      <c r="B5" s="87" t="s">
        <v>145</v>
      </c>
      <c r="C5" s="88"/>
      <c r="D5" s="88"/>
      <c r="E5" s="88"/>
      <c r="F5" s="89"/>
      <c r="G5" s="24">
        <v>484960</v>
      </c>
      <c r="H5" s="14" t="s">
        <v>3</v>
      </c>
      <c r="I5" s="1"/>
    </row>
    <row r="6" spans="1:9" x14ac:dyDescent="0.45">
      <c r="A6" s="1"/>
      <c r="B6" s="102" t="s">
        <v>46</v>
      </c>
      <c r="C6" s="103"/>
      <c r="D6" s="103"/>
      <c r="E6" s="103"/>
      <c r="F6" s="104"/>
      <c r="G6" s="24">
        <f>SUM(G4:G5)*'Fane 14. Nøgletal'!C29</f>
        <v>902802.20000000007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7" t="s">
        <v>57</v>
      </c>
      <c r="C9" s="98"/>
      <c r="D9" s="98"/>
      <c r="E9" s="98"/>
      <c r="F9" s="98"/>
      <c r="G9" s="98"/>
      <c r="H9" s="99"/>
      <c r="I9" s="1"/>
    </row>
    <row r="10" spans="1:9" x14ac:dyDescent="0.45">
      <c r="A10" s="1"/>
      <c r="B10" s="102" t="s">
        <v>47</v>
      </c>
      <c r="C10" s="103"/>
      <c r="D10" s="103"/>
      <c r="E10" s="103"/>
      <c r="F10" s="104"/>
      <c r="G10" s="24">
        <f>(G4-G6)*(1+'Fane 14. Nøgletal'!C10)</f>
        <v>44518013.886500001</v>
      </c>
      <c r="H10" s="14" t="s">
        <v>3</v>
      </c>
      <c r="I10" s="1"/>
    </row>
    <row r="11" spans="1:9" ht="15" customHeight="1" x14ac:dyDescent="0.45">
      <c r="A11" s="1"/>
      <c r="B11" s="102" t="s">
        <v>146</v>
      </c>
      <c r="C11" s="103"/>
      <c r="D11" s="103"/>
      <c r="E11" s="103"/>
      <c r="F11" s="104"/>
      <c r="G11" s="24">
        <v>0.11720650661736727</v>
      </c>
      <c r="H11" s="14" t="s">
        <v>3</v>
      </c>
      <c r="I11" s="1"/>
    </row>
    <row r="12" spans="1:9" x14ac:dyDescent="0.45">
      <c r="A12" s="1"/>
      <c r="B12" s="87" t="s">
        <v>143</v>
      </c>
      <c r="C12" s="88"/>
      <c r="D12" s="88"/>
      <c r="E12" s="88"/>
      <c r="F12" s="89"/>
      <c r="G12" s="24">
        <v>472896.35250000004</v>
      </c>
      <c r="H12" s="14" t="s">
        <v>3</v>
      </c>
      <c r="I12" s="1"/>
    </row>
    <row r="13" spans="1:9" x14ac:dyDescent="0.45">
      <c r="A13" s="1"/>
      <c r="B13" s="108" t="s">
        <v>48</v>
      </c>
      <c r="C13" s="109"/>
      <c r="D13" s="109"/>
      <c r="E13" s="109"/>
      <c r="F13" s="110"/>
      <c r="G13" s="9">
        <v>0</v>
      </c>
      <c r="H13" s="14" t="s">
        <v>3</v>
      </c>
      <c r="I13" s="1"/>
    </row>
    <row r="14" spans="1:9" x14ac:dyDescent="0.45">
      <c r="A14" s="1"/>
      <c r="B14" s="102" t="s">
        <v>49</v>
      </c>
      <c r="C14" s="103"/>
      <c r="D14" s="103"/>
      <c r="E14" s="103"/>
      <c r="F14" s="104"/>
      <c r="G14" s="24">
        <f>SUM(G10:G13)*'Fane 14. Nøgletal'!C29</f>
        <v>899818.2071241301</v>
      </c>
      <c r="H14" s="14" t="s">
        <v>3</v>
      </c>
      <c r="I14" s="1"/>
    </row>
    <row r="15" spans="1:9" x14ac:dyDescent="0.45">
      <c r="A15" s="1"/>
      <c r="B15" s="38"/>
      <c r="C15" s="32"/>
      <c r="D15" s="32"/>
      <c r="E15" s="32"/>
      <c r="F15" s="32"/>
      <c r="G15" s="32"/>
      <c r="H15" s="20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97" t="s">
        <v>58</v>
      </c>
      <c r="C17" s="98"/>
      <c r="D17" s="98"/>
      <c r="E17" s="98"/>
      <c r="F17" s="98"/>
      <c r="G17" s="98"/>
      <c r="H17" s="99"/>
      <c r="I17" s="1"/>
    </row>
    <row r="18" spans="1:9" x14ac:dyDescent="0.45">
      <c r="A18" s="1"/>
      <c r="B18" s="102" t="s">
        <v>50</v>
      </c>
      <c r="C18" s="103"/>
      <c r="D18" s="103"/>
      <c r="E18" s="103"/>
      <c r="F18" s="104"/>
      <c r="G18" s="24">
        <f>(SUM(G10:G11,G13)-(G14))*(1+'Fane 14. Nøgletal'!C10)</f>
        <v>44381514.223022573</v>
      </c>
      <c r="H18" s="14" t="s">
        <v>3</v>
      </c>
      <c r="I18" s="1"/>
    </row>
    <row r="19" spans="1:9" x14ac:dyDescent="0.45">
      <c r="A19" s="1"/>
      <c r="B19" s="108" t="s">
        <v>51</v>
      </c>
      <c r="C19" s="109"/>
      <c r="D19" s="109"/>
      <c r="E19" s="109"/>
      <c r="F19" s="110"/>
      <c r="G19" s="9">
        <v>0</v>
      </c>
      <c r="H19" s="14" t="s">
        <v>3</v>
      </c>
      <c r="I19" s="1"/>
    </row>
    <row r="20" spans="1:9" x14ac:dyDescent="0.45">
      <c r="A20" s="1"/>
      <c r="B20" s="102" t="s">
        <v>52</v>
      </c>
      <c r="C20" s="103"/>
      <c r="D20" s="103"/>
      <c r="E20" s="103"/>
      <c r="F20" s="104"/>
      <c r="G20" s="24">
        <f>SUM(G18:G19)*'Fane 14. Nøgletal'!C29</f>
        <v>887630.28446045145</v>
      </c>
      <c r="H20" s="14" t="s">
        <v>3</v>
      </c>
      <c r="I20" s="1"/>
    </row>
    <row r="21" spans="1:9" x14ac:dyDescent="0.45">
      <c r="A21" s="1"/>
      <c r="B21" s="38"/>
      <c r="C21" s="32"/>
      <c r="D21" s="32"/>
      <c r="E21" s="32"/>
      <c r="F21" s="32"/>
      <c r="G21" s="32"/>
      <c r="H21" s="20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97" t="s">
        <v>59</v>
      </c>
      <c r="C23" s="98"/>
      <c r="D23" s="98"/>
      <c r="E23" s="98"/>
      <c r="F23" s="98"/>
      <c r="G23" s="98"/>
      <c r="H23" s="99"/>
      <c r="I23" s="1"/>
    </row>
    <row r="24" spans="1:9" x14ac:dyDescent="0.45">
      <c r="A24" s="1"/>
      <c r="B24" s="102" t="s">
        <v>53</v>
      </c>
      <c r="C24" s="103"/>
      <c r="D24" s="103"/>
      <c r="E24" s="103"/>
      <c r="F24" s="104"/>
      <c r="G24" s="24">
        <f>(G18+G19-G20)*(1+'Fane 14. Nøgletal'!C12)</f>
        <v>44350713.452151798</v>
      </c>
      <c r="H24" s="14" t="s">
        <v>3</v>
      </c>
      <c r="I24" s="1"/>
    </row>
    <row r="25" spans="1:9" x14ac:dyDescent="0.45">
      <c r="A25" s="1"/>
      <c r="B25" s="108" t="s">
        <v>54</v>
      </c>
      <c r="C25" s="109"/>
      <c r="D25" s="109"/>
      <c r="E25" s="109"/>
      <c r="F25" s="110"/>
      <c r="G25" s="9">
        <v>0</v>
      </c>
      <c r="H25" s="14" t="s">
        <v>3</v>
      </c>
      <c r="I25" s="1"/>
    </row>
    <row r="26" spans="1:9" x14ac:dyDescent="0.45">
      <c r="A26" s="1"/>
      <c r="B26" s="102" t="s">
        <v>55</v>
      </c>
      <c r="C26" s="103"/>
      <c r="D26" s="103"/>
      <c r="E26" s="103"/>
      <c r="F26" s="104"/>
      <c r="G26" s="24">
        <f>(G24+G25)*'Fane 14. Nøgletal'!C29</f>
        <v>887014.26904303592</v>
      </c>
      <c r="H26" s="14" t="s">
        <v>3</v>
      </c>
      <c r="I26" s="1"/>
    </row>
    <row r="27" spans="1:9" x14ac:dyDescent="0.45">
      <c r="A27" s="1"/>
      <c r="B27" s="38"/>
      <c r="C27" s="32"/>
      <c r="D27" s="32"/>
      <c r="E27" s="32"/>
      <c r="F27" s="32"/>
      <c r="G27" s="32"/>
      <c r="H27" s="20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97" t="s">
        <v>62</v>
      </c>
      <c r="C29" s="98"/>
      <c r="D29" s="98"/>
      <c r="E29" s="98"/>
      <c r="F29" s="98"/>
      <c r="G29" s="98"/>
      <c r="H29" s="99"/>
      <c r="I29" s="1"/>
    </row>
    <row r="30" spans="1:9" x14ac:dyDescent="0.45">
      <c r="A30" s="1"/>
      <c r="B30" s="102" t="s">
        <v>63</v>
      </c>
      <c r="C30" s="103"/>
      <c r="D30" s="103"/>
      <c r="E30" s="103"/>
      <c r="F30" s="104"/>
      <c r="G30" s="24">
        <f>(G24+G25-G26)*(1+'Fane 14. Nøgletal'!C12)</f>
        <v>44319934.057016008</v>
      </c>
      <c r="H30" s="14" t="s">
        <v>3</v>
      </c>
      <c r="I30" s="1"/>
    </row>
    <row r="31" spans="1:9" x14ac:dyDescent="0.45">
      <c r="A31" s="1"/>
      <c r="B31" s="102" t="s">
        <v>171</v>
      </c>
      <c r="C31" s="103"/>
      <c r="D31" s="103"/>
      <c r="E31" s="103"/>
      <c r="F31" s="104"/>
      <c r="G31" s="24">
        <v>21432.537183960001</v>
      </c>
      <c r="H31" s="14" t="s">
        <v>3</v>
      </c>
      <c r="I31" s="1"/>
    </row>
    <row r="32" spans="1:9" x14ac:dyDescent="0.45">
      <c r="A32" s="1"/>
      <c r="B32" s="102" t="s">
        <v>64</v>
      </c>
      <c r="C32" s="103"/>
      <c r="D32" s="103"/>
      <c r="E32" s="103"/>
      <c r="F32" s="104"/>
      <c r="G32" s="24">
        <f>(G30+G31)*'Fane 14. Nøgletal'!C29</f>
        <v>886827.3318839994</v>
      </c>
      <c r="H32" s="14" t="s">
        <v>3</v>
      </c>
      <c r="I32" s="1"/>
    </row>
    <row r="33" spans="1:9" x14ac:dyDescent="0.45">
      <c r="A33" s="1"/>
      <c r="B33" s="38"/>
      <c r="C33" s="32"/>
      <c r="D33" s="32"/>
      <c r="E33" s="32"/>
      <c r="F33" s="32"/>
      <c r="G33" s="32"/>
      <c r="H33" s="20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97" t="s">
        <v>232</v>
      </c>
      <c r="C35" s="98"/>
      <c r="D35" s="98"/>
      <c r="E35" s="98"/>
      <c r="F35" s="98"/>
      <c r="G35" s="98"/>
      <c r="H35" s="99"/>
      <c r="I35" s="1"/>
    </row>
    <row r="36" spans="1:9" x14ac:dyDescent="0.45">
      <c r="A36" s="1"/>
      <c r="B36" s="102" t="s">
        <v>84</v>
      </c>
      <c r="C36" s="103"/>
      <c r="D36" s="103"/>
      <c r="E36" s="103"/>
      <c r="F36" s="104"/>
      <c r="G36" s="24">
        <f>(G30+G31-G32)*(1+'Fane 14. Nøgletal'!C14)</f>
        <v>43597939.241881616</v>
      </c>
      <c r="H36" s="14" t="s">
        <v>3</v>
      </c>
      <c r="I36" s="1"/>
    </row>
    <row r="37" spans="1:9" x14ac:dyDescent="0.45">
      <c r="A37" s="1"/>
      <c r="B37" s="102" t="s">
        <v>236</v>
      </c>
      <c r="C37" s="103"/>
      <c r="D37" s="103"/>
      <c r="E37" s="103"/>
      <c r="F37" s="104"/>
      <c r="G37" s="24">
        <f>SUM('Fane 2.1. Økonomisk ramme 2022'!C10,'Fane 2.1. Økonomisk ramme 2022'!C12,'Fane 2.1. Økonomisk ramme 2022'!C14)*(1+'Fane 14. Nøgletal'!C14)</f>
        <v>81601.918408740006</v>
      </c>
      <c r="H37" s="14" t="s">
        <v>3</v>
      </c>
      <c r="I37" s="1"/>
    </row>
    <row r="38" spans="1:9" x14ac:dyDescent="0.45">
      <c r="A38" s="1"/>
      <c r="B38" s="102" t="s">
        <v>234</v>
      </c>
      <c r="C38" s="103"/>
      <c r="D38" s="103"/>
      <c r="E38" s="103"/>
      <c r="F38" s="104"/>
      <c r="G38" s="24">
        <f>(G36+G37)*'Fane 14. Nøgletal'!C29</f>
        <v>873590.82320580713</v>
      </c>
      <c r="H38" s="14" t="s">
        <v>3</v>
      </c>
      <c r="I38" s="1"/>
    </row>
    <row r="39" spans="1:9" x14ac:dyDescent="0.45">
      <c r="A39" s="1"/>
      <c r="B39" s="38"/>
      <c r="C39" s="32"/>
      <c r="D39" s="32"/>
      <c r="E39" s="32"/>
      <c r="F39" s="32"/>
      <c r="G39" s="32"/>
      <c r="H39" s="20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97" t="s">
        <v>233</v>
      </c>
      <c r="C41" s="98"/>
      <c r="D41" s="98"/>
      <c r="E41" s="98"/>
      <c r="F41" s="98"/>
      <c r="G41" s="98"/>
      <c r="H41" s="99"/>
      <c r="I41" s="1"/>
    </row>
    <row r="42" spans="1:9" x14ac:dyDescent="0.45">
      <c r="A42" s="1"/>
      <c r="B42" s="102" t="s">
        <v>83</v>
      </c>
      <c r="C42" s="103"/>
      <c r="D42" s="103"/>
      <c r="E42" s="103"/>
      <c r="F42" s="104"/>
      <c r="G42" s="24">
        <f>(G36+G37-G38)*(1+'Fane 14. Nøgletal'!C14)</f>
        <v>42947209.973196931</v>
      </c>
      <c r="H42" s="14" t="s">
        <v>3</v>
      </c>
      <c r="I42" s="1"/>
    </row>
    <row r="43" spans="1:9" x14ac:dyDescent="0.45">
      <c r="A43" s="1"/>
      <c r="B43" s="105" t="s">
        <v>237</v>
      </c>
      <c r="C43" s="106"/>
      <c r="D43" s="106"/>
      <c r="E43" s="106"/>
      <c r="F43" s="107"/>
      <c r="G43" s="24">
        <f>G37*(1+'Fane 14. Nøgletal'!C14)</f>
        <v>81871.20473948885</v>
      </c>
      <c r="H43" s="14" t="s">
        <v>3</v>
      </c>
      <c r="I43" s="1"/>
    </row>
    <row r="44" spans="1:9" x14ac:dyDescent="0.45">
      <c r="A44" s="1"/>
      <c r="B44" s="102" t="s">
        <v>97</v>
      </c>
      <c r="C44" s="103"/>
      <c r="D44" s="103"/>
      <c r="E44" s="103"/>
      <c r="F44" s="104"/>
      <c r="G44" s="9">
        <f>-'Fane 13. Bortfald'!C18*(1+'Fane 14. Nøgletal'!C14)</f>
        <v>0</v>
      </c>
      <c r="H44" s="14" t="s">
        <v>3</v>
      </c>
      <c r="I44" s="1"/>
    </row>
    <row r="45" spans="1:9" x14ac:dyDescent="0.45">
      <c r="A45" s="1"/>
      <c r="B45" s="102" t="s">
        <v>235</v>
      </c>
      <c r="C45" s="103"/>
      <c r="D45" s="103"/>
      <c r="E45" s="103"/>
      <c r="F45" s="104"/>
      <c r="G45" s="24">
        <f>(G42+G44)*'Fane 14. Nøgletal'!C29</f>
        <v>858944.1994639386</v>
      </c>
      <c r="H45" s="14" t="s">
        <v>3</v>
      </c>
      <c r="I45" s="1"/>
    </row>
    <row r="46" spans="1:9" x14ac:dyDescent="0.45">
      <c r="A46" s="1"/>
      <c r="B46" s="38"/>
      <c r="C46" s="32"/>
      <c r="D46" s="32"/>
      <c r="E46" s="32"/>
      <c r="F46" s="32"/>
      <c r="G46" s="32"/>
      <c r="H46" s="20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97" t="s">
        <v>172</v>
      </c>
      <c r="C50" s="98"/>
      <c r="D50" s="98"/>
      <c r="E50" s="98"/>
      <c r="F50" s="98"/>
      <c r="G50" s="98"/>
      <c r="H50" s="99"/>
      <c r="I50" s="1"/>
    </row>
    <row r="51" spans="1:9" x14ac:dyDescent="0.45">
      <c r="A51" s="1"/>
      <c r="B51" s="102" t="s">
        <v>173</v>
      </c>
      <c r="C51" s="103"/>
      <c r="D51" s="103"/>
      <c r="E51" s="103"/>
      <c r="F51" s="104"/>
      <c r="G51" s="24">
        <f>(G42+G44-G45)*(1+'Fane 14. Nøgletal'!C14)</f>
        <v>42227157.050786309</v>
      </c>
      <c r="H51" s="14" t="s">
        <v>3</v>
      </c>
      <c r="I51" s="1"/>
    </row>
    <row r="52" spans="1:9" x14ac:dyDescent="0.45">
      <c r="A52" s="1"/>
      <c r="B52" s="102" t="s">
        <v>174</v>
      </c>
      <c r="C52" s="103"/>
      <c r="D52" s="103"/>
      <c r="E52" s="103"/>
      <c r="F52" s="104"/>
      <c r="G52" s="9">
        <f>-'Fane 13. Bortfald'!C24*(1+'Fane 14. Nøgletal'!C14)</f>
        <v>0</v>
      </c>
      <c r="H52" s="14" t="s">
        <v>3</v>
      </c>
      <c r="I52" s="1"/>
    </row>
    <row r="53" spans="1:9" x14ac:dyDescent="0.45">
      <c r="A53" s="1"/>
      <c r="B53" s="102" t="s">
        <v>175</v>
      </c>
      <c r="C53" s="103"/>
      <c r="D53" s="103"/>
      <c r="E53" s="103"/>
      <c r="F53" s="104"/>
      <c r="G53" s="24">
        <f>(G51+G52)*'Fane 14. Nøgletal'!C29</f>
        <v>844543.14101572614</v>
      </c>
      <c r="H53" s="14" t="s">
        <v>3</v>
      </c>
      <c r="I53" s="1"/>
    </row>
    <row r="54" spans="1:9" x14ac:dyDescent="0.45">
      <c r="A54" s="1"/>
      <c r="B54" s="38"/>
      <c r="C54" s="32"/>
      <c r="D54" s="32"/>
      <c r="E54" s="32"/>
      <c r="F54" s="32"/>
      <c r="G54" s="32"/>
      <c r="H54" s="20"/>
      <c r="I54" s="1"/>
    </row>
    <row r="55" spans="1:9" x14ac:dyDescent="0.4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45">
      <c r="A56" s="1"/>
      <c r="B56" s="97" t="s">
        <v>201</v>
      </c>
      <c r="C56" s="98"/>
      <c r="D56" s="98"/>
      <c r="E56" s="98"/>
      <c r="F56" s="98"/>
      <c r="G56" s="98"/>
      <c r="H56" s="99"/>
      <c r="I56" s="1"/>
    </row>
    <row r="57" spans="1:9" x14ac:dyDescent="0.45">
      <c r="A57" s="1"/>
      <c r="B57" s="60" t="s">
        <v>202</v>
      </c>
      <c r="C57" s="61"/>
      <c r="D57" s="61"/>
      <c r="E57" s="61"/>
      <c r="F57" s="62"/>
      <c r="G57" s="24">
        <f>(G51+G52-G53)*(1+'Fane 14. Nøgletal'!C14)</f>
        <v>41519176.535672829</v>
      </c>
      <c r="H57" s="14" t="s">
        <v>3</v>
      </c>
      <c r="I57" s="1"/>
    </row>
    <row r="58" spans="1:9" x14ac:dyDescent="0.45">
      <c r="A58" s="1"/>
      <c r="B58" s="60" t="s">
        <v>203</v>
      </c>
      <c r="C58" s="61"/>
      <c r="D58" s="61"/>
      <c r="E58" s="61"/>
      <c r="F58" s="62"/>
      <c r="G58" s="9">
        <f>-'Fane 13. Bortfald'!C30*(1+'Fane 14. Nøgletal'!C14)</f>
        <v>0</v>
      </c>
      <c r="H58" s="14" t="s">
        <v>3</v>
      </c>
      <c r="I58" s="1"/>
    </row>
    <row r="59" spans="1:9" x14ac:dyDescent="0.45">
      <c r="A59" s="1"/>
      <c r="B59" s="60" t="s">
        <v>204</v>
      </c>
      <c r="C59" s="61"/>
      <c r="D59" s="61"/>
      <c r="E59" s="61"/>
      <c r="F59" s="62"/>
      <c r="G59" s="24">
        <f>(G57+G58)*'Fane 14. Nøgletal'!C29</f>
        <v>830383.53071345657</v>
      </c>
      <c r="H59" s="14" t="s">
        <v>3</v>
      </c>
      <c r="I59" s="1"/>
    </row>
    <row r="60" spans="1:9" x14ac:dyDescent="0.45">
      <c r="A60" s="1"/>
      <c r="B60" s="38"/>
      <c r="C60" s="32"/>
      <c r="D60" s="32"/>
      <c r="E60" s="32"/>
      <c r="F60" s="32"/>
      <c r="G60" s="32"/>
      <c r="H60" s="20"/>
      <c r="I60" s="1"/>
    </row>
    <row r="61" spans="1:9" x14ac:dyDescent="0.4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45">
      <c r="A62" s="1"/>
      <c r="B62" s="1"/>
      <c r="C62" s="1"/>
      <c r="D62" s="1"/>
      <c r="E62" s="1"/>
      <c r="F62" s="1"/>
      <c r="G62" s="1"/>
      <c r="H62" s="1"/>
      <c r="I62" s="1"/>
    </row>
  </sheetData>
  <sheetProtection algorithmName="SHA-512" hashValue="IjX7B1XnaaS9iqm0s7Z2jfFypXkcphLYYOBjGmGu6DTXx7SCeVjwIzgvuAnNlVHtj+hATvDtdwBBygX8xCeeVw==" saltValue="TgBTRxmVWsFRJy807bKNew==" spinCount="100000" sheet="1" objects="1" scenarios="1"/>
  <mergeCells count="37">
    <mergeCell ref="B10:F10"/>
    <mergeCell ref="B9:H9"/>
    <mergeCell ref="B5:F5"/>
    <mergeCell ref="B1:H2"/>
    <mergeCell ref="B23:H23"/>
    <mergeCell ref="B3:H3"/>
    <mergeCell ref="B4:F4"/>
    <mergeCell ref="B6:F6"/>
    <mergeCell ref="B11:F11"/>
    <mergeCell ref="B12:F12"/>
    <mergeCell ref="B29:H29"/>
    <mergeCell ref="B30:F30"/>
    <mergeCell ref="B35:H35"/>
    <mergeCell ref="B17:H17"/>
    <mergeCell ref="B13:F13"/>
    <mergeCell ref="B14:F14"/>
    <mergeCell ref="B18:F18"/>
    <mergeCell ref="B19:F19"/>
    <mergeCell ref="B20:F20"/>
    <mergeCell ref="B24:F24"/>
    <mergeCell ref="B25:F25"/>
    <mergeCell ref="B26:F26"/>
    <mergeCell ref="B56:H56"/>
    <mergeCell ref="B50:H50"/>
    <mergeCell ref="B51:F51"/>
    <mergeCell ref="B52:F52"/>
    <mergeCell ref="B31:F31"/>
    <mergeCell ref="B32:F32"/>
    <mergeCell ref="B41:H41"/>
    <mergeCell ref="B42:F42"/>
    <mergeCell ref="B45:F45"/>
    <mergeCell ref="B37:F37"/>
    <mergeCell ref="B44:F44"/>
    <mergeCell ref="B38:F38"/>
    <mergeCell ref="B43:F43"/>
    <mergeCell ref="B53:F53"/>
    <mergeCell ref="B36:F3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4.25" customHeight="1" x14ac:dyDescent="0.45">
      <c r="A1" s="1"/>
      <c r="B1" s="111" t="s">
        <v>131</v>
      </c>
      <c r="C1" s="111"/>
      <c r="D1" s="111"/>
      <c r="E1" s="111"/>
      <c r="F1" s="111"/>
      <c r="G1" s="111"/>
      <c r="H1" s="111"/>
      <c r="I1" s="1"/>
    </row>
    <row r="2" spans="1:9" ht="15" customHeight="1" x14ac:dyDescent="0.45">
      <c r="A2" s="1"/>
      <c r="B2" s="111"/>
      <c r="C2" s="111"/>
      <c r="D2" s="111"/>
      <c r="E2" s="111"/>
      <c r="F2" s="111"/>
      <c r="G2" s="111"/>
      <c r="H2" s="111"/>
      <c r="I2" s="1"/>
    </row>
    <row r="3" spans="1:9" ht="15" customHeight="1" x14ac:dyDescent="0.45">
      <c r="A3" s="1"/>
      <c r="B3" s="112"/>
      <c r="C3" s="112"/>
      <c r="D3" s="112"/>
      <c r="E3" s="112"/>
      <c r="F3" s="112"/>
      <c r="G3" s="112"/>
      <c r="H3" s="112"/>
      <c r="I3" s="1"/>
    </row>
    <row r="4" spans="1:9" x14ac:dyDescent="0.45">
      <c r="A4" s="1"/>
      <c r="B4" s="97" t="s">
        <v>60</v>
      </c>
      <c r="C4" s="98"/>
      <c r="D4" s="98"/>
      <c r="E4" s="98"/>
      <c r="F4" s="98"/>
      <c r="G4" s="98"/>
      <c r="H4" s="99"/>
      <c r="I4" s="1"/>
    </row>
    <row r="5" spans="1:9" x14ac:dyDescent="0.45">
      <c r="A5" s="1"/>
      <c r="B5" s="102" t="s">
        <v>65</v>
      </c>
      <c r="C5" s="103"/>
      <c r="D5" s="103"/>
      <c r="E5" s="103"/>
      <c r="F5" s="104"/>
      <c r="G5" s="24">
        <v>107075238.06309244</v>
      </c>
      <c r="H5" s="14" t="s">
        <v>3</v>
      </c>
      <c r="I5" s="1"/>
    </row>
    <row r="6" spans="1:9" x14ac:dyDescent="0.45">
      <c r="A6" s="1"/>
      <c r="B6" s="102" t="s">
        <v>61</v>
      </c>
      <c r="C6" s="103"/>
      <c r="D6" s="103"/>
      <c r="E6" s="103"/>
      <c r="F6" s="104"/>
      <c r="G6" s="24">
        <f>G5*'Fane 14. Nøgletal'!C19</f>
        <v>974384.66637414123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7" t="s">
        <v>66</v>
      </c>
      <c r="C9" s="98"/>
      <c r="D9" s="98"/>
      <c r="E9" s="98"/>
      <c r="F9" s="98"/>
      <c r="G9" s="98"/>
      <c r="H9" s="99"/>
      <c r="I9" s="1"/>
    </row>
    <row r="10" spans="1:9" x14ac:dyDescent="0.45">
      <c r="A10" s="1"/>
      <c r="B10" s="102" t="s">
        <v>67</v>
      </c>
      <c r="C10" s="103"/>
      <c r="D10" s="103"/>
      <c r="E10" s="103"/>
      <c r="F10" s="104"/>
      <c r="G10" s="24">
        <f>(G5-G6)*(1+'Fane 14. Nøgletal'!C10)</f>
        <v>107957618.33116087</v>
      </c>
      <c r="H10" s="14" t="s">
        <v>3</v>
      </c>
      <c r="I10" s="1"/>
    </row>
    <row r="11" spans="1:9" x14ac:dyDescent="0.45">
      <c r="A11" s="1"/>
      <c r="B11" s="102" t="s">
        <v>147</v>
      </c>
      <c r="C11" s="103"/>
      <c r="D11" s="103"/>
      <c r="E11" s="103"/>
      <c r="F11" s="104"/>
      <c r="G11" s="24">
        <v>-1085053.9324935006</v>
      </c>
      <c r="H11" s="14" t="s">
        <v>3</v>
      </c>
      <c r="I11" s="1"/>
    </row>
    <row r="12" spans="1:9" x14ac:dyDescent="0.45">
      <c r="A12" s="1"/>
      <c r="B12" s="108" t="s">
        <v>68</v>
      </c>
      <c r="C12" s="109"/>
      <c r="D12" s="109"/>
      <c r="E12" s="109"/>
      <c r="F12" s="110"/>
      <c r="G12" s="9">
        <v>0</v>
      </c>
      <c r="H12" s="14" t="s">
        <v>3</v>
      </c>
      <c r="I12" s="1"/>
    </row>
    <row r="13" spans="1:9" x14ac:dyDescent="0.45">
      <c r="A13" s="1"/>
      <c r="B13" s="102" t="s">
        <v>69</v>
      </c>
      <c r="C13" s="103"/>
      <c r="D13" s="103"/>
      <c r="E13" s="103"/>
      <c r="F13" s="104"/>
      <c r="G13" s="24">
        <f>SUM(G10:G12)*'Fane 14. Nøgletal'!C20</f>
        <v>1891644.3898564123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7" t="s">
        <v>70</v>
      </c>
      <c r="C16" s="98"/>
      <c r="D16" s="98"/>
      <c r="E16" s="98"/>
      <c r="F16" s="98"/>
      <c r="G16" s="98"/>
      <c r="H16" s="99"/>
      <c r="I16" s="1"/>
    </row>
    <row r="17" spans="1:9" x14ac:dyDescent="0.45">
      <c r="A17" s="1"/>
      <c r="B17" s="102" t="s">
        <v>71</v>
      </c>
      <c r="C17" s="103"/>
      <c r="D17" s="103"/>
      <c r="E17" s="103"/>
      <c r="F17" s="104"/>
      <c r="G17" s="24">
        <f>(SUM(G10:G12)-G13)*(1+'Fane 14. Nøgletal'!C10)</f>
        <v>106818086.10896516</v>
      </c>
      <c r="H17" s="14" t="s">
        <v>3</v>
      </c>
      <c r="I17" s="1"/>
    </row>
    <row r="18" spans="1:9" x14ac:dyDescent="0.45">
      <c r="A18" s="1"/>
      <c r="B18" s="108" t="s">
        <v>72</v>
      </c>
      <c r="C18" s="109"/>
      <c r="D18" s="109"/>
      <c r="E18" s="109"/>
      <c r="F18" s="110"/>
      <c r="G18" s="24">
        <v>607248.79517069401</v>
      </c>
      <c r="H18" s="14" t="s">
        <v>3</v>
      </c>
      <c r="I18" s="1"/>
    </row>
    <row r="19" spans="1:9" x14ac:dyDescent="0.45">
      <c r="A19" s="1"/>
      <c r="B19" s="102" t="s">
        <v>73</v>
      </c>
      <c r="C19" s="103"/>
      <c r="D19" s="103"/>
      <c r="E19" s="103"/>
      <c r="F19" s="104"/>
      <c r="G19" s="24">
        <f>G17*'Fane 14. Nøgletal'!C20+G18*'Fane 14. Nøgletal'!C21</f>
        <v>1895963.1886466683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7" t="s">
        <v>74</v>
      </c>
      <c r="C22" s="98"/>
      <c r="D22" s="98"/>
      <c r="E22" s="98"/>
      <c r="F22" s="98"/>
      <c r="G22" s="98"/>
      <c r="H22" s="99"/>
      <c r="I22" s="1"/>
    </row>
    <row r="23" spans="1:9" x14ac:dyDescent="0.45">
      <c r="A23" s="1"/>
      <c r="B23" s="102" t="s">
        <v>75</v>
      </c>
      <c r="C23" s="103"/>
      <c r="D23" s="103"/>
      <c r="E23" s="103"/>
      <c r="F23" s="104"/>
      <c r="G23" s="24">
        <f>(G17+G18-G19)*(1+'Fane 14. Nøgletal'!C12)</f>
        <v>107608300.33828431</v>
      </c>
      <c r="H23" s="14" t="s">
        <v>3</v>
      </c>
      <c r="I23" s="1"/>
    </row>
    <row r="24" spans="1:9" x14ac:dyDescent="0.45">
      <c r="A24" s="1"/>
      <c r="B24" s="108" t="s">
        <v>76</v>
      </c>
      <c r="C24" s="109"/>
      <c r="D24" s="109"/>
      <c r="E24" s="109"/>
      <c r="F24" s="110"/>
      <c r="G24" s="24">
        <v>4463584.73340136</v>
      </c>
      <c r="H24" s="14" t="s">
        <v>3</v>
      </c>
      <c r="I24" s="1"/>
    </row>
    <row r="25" spans="1:9" x14ac:dyDescent="0.45">
      <c r="A25" s="1"/>
      <c r="B25" s="102" t="s">
        <v>77</v>
      </c>
      <c r="C25" s="103"/>
      <c r="D25" s="103"/>
      <c r="E25" s="103"/>
      <c r="F25" s="104"/>
      <c r="G25" s="24">
        <f>(G23+G24)*'Fane 14. Nøgletal'!C22</f>
        <v>3182841.5360358735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7" t="s">
        <v>78</v>
      </c>
      <c r="C28" s="98"/>
      <c r="D28" s="98"/>
      <c r="E28" s="98"/>
      <c r="F28" s="98"/>
      <c r="G28" s="98"/>
      <c r="H28" s="99"/>
      <c r="I28" s="1"/>
    </row>
    <row r="29" spans="1:9" x14ac:dyDescent="0.45">
      <c r="A29" s="1"/>
      <c r="B29" s="102" t="s">
        <v>79</v>
      </c>
      <c r="C29" s="103"/>
      <c r="D29" s="103"/>
      <c r="E29" s="103"/>
      <c r="F29" s="104"/>
      <c r="G29" s="24">
        <f>(G23+G24-G25)*(1+'Fane 14. Nøgletal'!C12)</f>
        <v>111034157.69330209</v>
      </c>
      <c r="H29" s="14" t="s">
        <v>3</v>
      </c>
      <c r="I29" s="1"/>
    </row>
    <row r="30" spans="1:9" x14ac:dyDescent="0.45">
      <c r="A30" s="1"/>
      <c r="B30" s="102" t="s">
        <v>176</v>
      </c>
      <c r="C30" s="103"/>
      <c r="D30" s="103"/>
      <c r="E30" s="103"/>
      <c r="F30" s="104"/>
      <c r="G30" s="24">
        <v>3009359.1539365198</v>
      </c>
      <c r="H30" s="14" t="s">
        <v>3</v>
      </c>
      <c r="I30" s="1"/>
    </row>
    <row r="31" spans="1:9" x14ac:dyDescent="0.45">
      <c r="A31" s="1"/>
      <c r="B31" s="102" t="s">
        <v>80</v>
      </c>
      <c r="C31" s="103"/>
      <c r="D31" s="103"/>
      <c r="E31" s="103"/>
      <c r="F31" s="104"/>
      <c r="G31" s="24">
        <f>G29*'Fane 14. Nøgletal'!C22+G30*'Fane 14. Nøgletal'!C23</f>
        <v>3236127.4552230337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7" t="s">
        <v>238</v>
      </c>
      <c r="C34" s="98"/>
      <c r="D34" s="98"/>
      <c r="E34" s="98"/>
      <c r="F34" s="98"/>
      <c r="G34" s="98"/>
      <c r="H34" s="99"/>
      <c r="I34" s="1"/>
    </row>
    <row r="35" spans="1:9" x14ac:dyDescent="0.45">
      <c r="A35" s="1"/>
      <c r="B35" s="102" t="s">
        <v>82</v>
      </c>
      <c r="C35" s="103"/>
      <c r="D35" s="103"/>
      <c r="E35" s="103"/>
      <c r="F35" s="104"/>
      <c r="G35" s="24">
        <f>(G29+G30-G31)*(1+'Fane 14. Nøgletal'!C14)</f>
        <v>111173053.77700923</v>
      </c>
      <c r="H35" s="14" t="s">
        <v>3</v>
      </c>
      <c r="I35" s="1"/>
    </row>
    <row r="36" spans="1:9" x14ac:dyDescent="0.45">
      <c r="A36" s="1"/>
      <c r="B36" s="102" t="s">
        <v>240</v>
      </c>
      <c r="C36" s="103"/>
      <c r="D36" s="103"/>
      <c r="E36" s="103"/>
      <c r="F36" s="104"/>
      <c r="G36" s="24">
        <f>SUM('Fane 2.1. Økonomisk ramme 2022'!C11,'Fane 2.1. Økonomisk ramme 2022'!C13,'Fane 2.1. Økonomisk ramme 2022'!C15)*(1+'Fane 14. Nøgletal'!C14)</f>
        <v>3080128.6623110007</v>
      </c>
      <c r="H36" s="14" t="s">
        <v>3</v>
      </c>
      <c r="I36" s="1"/>
    </row>
    <row r="37" spans="1:9" x14ac:dyDescent="0.45">
      <c r="A37" s="1"/>
      <c r="B37" s="102" t="s">
        <v>239</v>
      </c>
      <c r="C37" s="103"/>
      <c r="D37" s="103"/>
      <c r="E37" s="103"/>
      <c r="F37" s="104"/>
      <c r="G37" s="24">
        <f>(G35+G36)*'Fane 14. Nøgletal'!C24</f>
        <v>1690947.1001019396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7" t="s">
        <v>85</v>
      </c>
      <c r="C40" s="98"/>
      <c r="D40" s="98"/>
      <c r="E40" s="98"/>
      <c r="F40" s="98"/>
      <c r="G40" s="98"/>
      <c r="H40" s="99"/>
      <c r="I40" s="1"/>
    </row>
    <row r="41" spans="1:9" x14ac:dyDescent="0.45">
      <c r="A41" s="1"/>
      <c r="B41" s="102" t="s">
        <v>81</v>
      </c>
      <c r="C41" s="103"/>
      <c r="D41" s="103"/>
      <c r="E41" s="103"/>
      <c r="F41" s="104"/>
      <c r="G41" s="24">
        <f>(G35+G36-G37)*(1+'Fane 14. Nøgletal'!C14)</f>
        <v>112933690.71583773</v>
      </c>
      <c r="H41" s="14" t="s">
        <v>3</v>
      </c>
      <c r="I41" s="1"/>
    </row>
    <row r="42" spans="1:9" x14ac:dyDescent="0.45">
      <c r="A42" s="1"/>
      <c r="B42" s="46" t="s">
        <v>242</v>
      </c>
      <c r="C42" s="61"/>
      <c r="D42" s="61"/>
      <c r="E42" s="61"/>
      <c r="F42" s="62"/>
      <c r="G42" s="24">
        <f>G36*(1+'Fane 14. Nøgletal'!C14)</f>
        <v>3090293.0868966272</v>
      </c>
      <c r="H42" s="14" t="s">
        <v>3</v>
      </c>
      <c r="I42" s="1"/>
    </row>
    <row r="43" spans="1:9" x14ac:dyDescent="0.45">
      <c r="A43" s="1"/>
      <c r="B43" s="102" t="s">
        <v>101</v>
      </c>
      <c r="C43" s="103"/>
      <c r="D43" s="103"/>
      <c r="E43" s="103"/>
      <c r="F43" s="104"/>
      <c r="G43" s="9">
        <f>-'Fane 13. Bortfald'!E18*(1+'Fane 14. Nøgletal'!C14)</f>
        <v>0</v>
      </c>
      <c r="H43" s="14" t="s">
        <v>3</v>
      </c>
      <c r="I43" s="1"/>
    </row>
    <row r="44" spans="1:9" x14ac:dyDescent="0.45">
      <c r="A44" s="1"/>
      <c r="B44" s="102" t="s">
        <v>241</v>
      </c>
      <c r="C44" s="103"/>
      <c r="D44" s="103"/>
      <c r="E44" s="103"/>
      <c r="F44" s="104"/>
      <c r="G44" s="24">
        <f>(G41+G43)*'Fane 14. Nøgletal'!C24</f>
        <v>1671418.6225943984</v>
      </c>
      <c r="H44" s="14" t="s">
        <v>3</v>
      </c>
      <c r="I44" s="1"/>
    </row>
    <row r="45" spans="1:9" x14ac:dyDescent="0.4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7" t="s">
        <v>181</v>
      </c>
      <c r="C52" s="98"/>
      <c r="D52" s="98"/>
      <c r="E52" s="98"/>
      <c r="F52" s="98"/>
      <c r="G52" s="98"/>
      <c r="H52" s="99"/>
      <c r="I52" s="1"/>
    </row>
    <row r="53" spans="1:9" x14ac:dyDescent="0.45">
      <c r="A53" s="1"/>
      <c r="B53" s="102" t="s">
        <v>182</v>
      </c>
      <c r="C53" s="103"/>
      <c r="D53" s="103"/>
      <c r="E53" s="103"/>
      <c r="F53" s="104"/>
      <c r="G53" s="24">
        <f>(G41+G43-G44)*(1+'Fane 14. Nøgletal'!C14)</f>
        <v>111629437.59115104</v>
      </c>
      <c r="H53" s="14" t="s">
        <v>3</v>
      </c>
      <c r="I53" s="1"/>
    </row>
    <row r="54" spans="1:9" x14ac:dyDescent="0.45">
      <c r="A54" s="1"/>
      <c r="B54" s="102" t="s">
        <v>183</v>
      </c>
      <c r="C54" s="103"/>
      <c r="D54" s="103"/>
      <c r="E54" s="103"/>
      <c r="F54" s="104"/>
      <c r="G54" s="9">
        <f>-'Fane 13. Bortfald'!E24*(1+'Fane 14. Nøgletal'!C13)</f>
        <v>0</v>
      </c>
      <c r="H54" s="14" t="s">
        <v>3</v>
      </c>
      <c r="I54" s="1"/>
    </row>
    <row r="55" spans="1:9" x14ac:dyDescent="0.45">
      <c r="A55" s="1"/>
      <c r="B55" s="102" t="s">
        <v>184</v>
      </c>
      <c r="C55" s="103"/>
      <c r="D55" s="103"/>
      <c r="E55" s="103"/>
      <c r="F55" s="104"/>
      <c r="G55" s="24">
        <f>(G53+G54)*'Fane 14. Nøgletal'!C24</f>
        <v>1652115.6763490355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97" t="s">
        <v>205</v>
      </c>
      <c r="C58" s="98"/>
      <c r="D58" s="98"/>
      <c r="E58" s="98"/>
      <c r="F58" s="98"/>
      <c r="G58" s="98"/>
      <c r="H58" s="99"/>
      <c r="I58" s="1"/>
    </row>
    <row r="59" spans="1:9" x14ac:dyDescent="0.45">
      <c r="A59" s="1"/>
      <c r="B59" s="102" t="s">
        <v>255</v>
      </c>
      <c r="C59" s="103"/>
      <c r="D59" s="103"/>
      <c r="E59" s="103"/>
      <c r="F59" s="104"/>
      <c r="G59" s="24">
        <f>(G53+G54-G55)*(1+'Fane 14. Nøgletal'!C14)</f>
        <v>110340247.07712087</v>
      </c>
      <c r="H59" s="14" t="s">
        <v>3</v>
      </c>
      <c r="I59" s="1"/>
    </row>
    <row r="60" spans="1:9" x14ac:dyDescent="0.45">
      <c r="A60" s="1"/>
      <c r="B60" s="102" t="s">
        <v>256</v>
      </c>
      <c r="C60" s="103"/>
      <c r="D60" s="103"/>
      <c r="E60" s="103"/>
      <c r="F60" s="104"/>
      <c r="G60" s="9">
        <f>-'Fane 13. Bortfald'!E30*(1+'Fane 14. Nøgletal'!C14)</f>
        <v>0</v>
      </c>
      <c r="H60" s="14" t="s">
        <v>3</v>
      </c>
      <c r="I60" s="1"/>
    </row>
    <row r="61" spans="1:9" x14ac:dyDescent="0.45">
      <c r="A61" s="1"/>
      <c r="B61" s="102" t="s">
        <v>257</v>
      </c>
      <c r="C61" s="103"/>
      <c r="D61" s="103"/>
      <c r="E61" s="103"/>
      <c r="F61" s="104"/>
      <c r="G61" s="24">
        <f>(G59+G60)*'Fane 14. Nøgletal'!C24</f>
        <v>1633035.6567413888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hErSoHYBWVHfvzIERV7P/kMa9OmAwrWS2wO4SRmxFUddmpMVPi23tzbjek+AvC0+Wq5WT5VMtWXdHB/UpXDGVA==" saltValue="W0HEccw5Ea6WoYrGQ55q8A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5" t="s">
        <v>96</v>
      </c>
      <c r="C3" s="85"/>
      <c r="D3" s="85"/>
      <c r="E3" s="85"/>
      <c r="F3" s="85"/>
      <c r="G3" s="85"/>
      <c r="H3" s="85"/>
      <c r="I3" s="1"/>
    </row>
    <row r="4" spans="1:9" ht="15" customHeight="1" x14ac:dyDescent="0.4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7" t="s">
        <v>10</v>
      </c>
      <c r="C8" s="98"/>
      <c r="D8" s="98"/>
      <c r="E8" s="98"/>
      <c r="F8" s="98"/>
      <c r="G8" s="98"/>
      <c r="H8" s="99"/>
      <c r="I8" s="1"/>
    </row>
    <row r="9" spans="1:9" x14ac:dyDescent="0.45">
      <c r="A9" s="1"/>
      <c r="B9" s="102" t="s">
        <v>243</v>
      </c>
      <c r="C9" s="103"/>
      <c r="D9" s="103"/>
      <c r="E9" s="103"/>
      <c r="F9" s="104"/>
      <c r="G9" s="23">
        <v>9.4605700825168611E-3</v>
      </c>
      <c r="H9" s="14"/>
      <c r="I9" s="1"/>
    </row>
    <row r="10" spans="1:9" x14ac:dyDescent="0.45">
      <c r="A10" s="1"/>
      <c r="B10" s="102" t="s">
        <v>86</v>
      </c>
      <c r="C10" s="103"/>
      <c r="D10" s="103"/>
      <c r="E10" s="103"/>
      <c r="F10" s="104"/>
      <c r="G10" s="23">
        <v>0.02</v>
      </c>
      <c r="H10" s="14"/>
      <c r="I10" s="1"/>
    </row>
    <row r="11" spans="1:9" x14ac:dyDescent="0.45">
      <c r="A11" s="1"/>
      <c r="B11" s="102" t="s">
        <v>87</v>
      </c>
      <c r="C11" s="103"/>
      <c r="D11" s="103"/>
      <c r="E11" s="103"/>
      <c r="F11" s="104"/>
      <c r="G11" s="41">
        <v>0.02</v>
      </c>
      <c r="H11" s="14"/>
      <c r="I11" s="1"/>
    </row>
    <row r="12" spans="1:9" x14ac:dyDescent="0.45">
      <c r="A12" s="1"/>
      <c r="B12" s="102" t="s">
        <v>206</v>
      </c>
      <c r="C12" s="103"/>
      <c r="D12" s="103"/>
      <c r="E12" s="103"/>
      <c r="F12" s="104"/>
      <c r="G12" s="41">
        <v>1.0593409116488473E-2</v>
      </c>
      <c r="H12" s="45"/>
      <c r="I12" s="1"/>
    </row>
    <row r="13" spans="1:9" x14ac:dyDescent="0.4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45">
      <c r="A14" s="1"/>
      <c r="B14" s="113" t="s">
        <v>207</v>
      </c>
      <c r="C14" s="113"/>
      <c r="D14" s="113"/>
      <c r="E14" s="113"/>
      <c r="F14" s="113"/>
      <c r="G14" s="113"/>
      <c r="H14" s="113"/>
      <c r="I14" s="1"/>
    </row>
    <row r="15" spans="1:9" ht="14.25" customHeight="1" x14ac:dyDescent="0.45">
      <c r="A15" s="18"/>
      <c r="B15" s="113"/>
      <c r="C15" s="113"/>
      <c r="D15" s="113"/>
      <c r="E15" s="113"/>
      <c r="F15" s="113"/>
      <c r="G15" s="113"/>
      <c r="H15" s="113"/>
      <c r="I15" s="18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Mtxg3jPP2PYWnUTjSuYjUnc70w8sjSKLEV3mosHF3l3DqWhC7GyKQQ5yucAUYad/xcBD8kefp765X8qruHhcAg==" saltValue="uaYXip/0OlTbxJ1apgRTAg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2021-09-13T00:57:11Z</dcterms:modified>
</cp:coreProperties>
</file>