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idebæk Vand AS (V209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/>
  <c r="E26" i="32"/>
  <c r="E10" i="11"/>
  <c r="E9" i="32"/>
  <c r="E39" i="32"/>
  <c r="E42" i="32"/>
  <c r="E21" i="15"/>
  <c r="E24" i="2"/>
  <c r="E18" i="32"/>
  <c r="E29" i="21"/>
  <c r="E30" i="21"/>
  <c r="C29" i="21"/>
  <c r="C30" i="21"/>
  <c r="E23" i="21"/>
  <c r="E24" i="21"/>
  <c r="C23" i="21"/>
  <c r="C24" i="21"/>
  <c r="E17" i="21"/>
  <c r="E18" i="21"/>
  <c r="C17" i="21"/>
  <c r="C18" i="21"/>
  <c r="E9" i="23"/>
  <c r="E10" i="15"/>
  <c r="E9" i="22"/>
  <c r="E32" i="39"/>
  <c r="E33" i="39"/>
  <c r="C32" i="39"/>
  <c r="C33" i="39"/>
  <c r="E25" i="39"/>
  <c r="E26" i="39"/>
  <c r="C25" i="39"/>
  <c r="C26" i="39"/>
  <c r="E18" i="39"/>
  <c r="E19" i="39"/>
  <c r="C18" i="39"/>
  <c r="C19" i="39"/>
  <c r="E11" i="39"/>
  <c r="E12" i="39"/>
  <c r="C11" i="39"/>
  <c r="C12" i="39"/>
  <c r="C34" i="39"/>
  <c r="E16" i="23"/>
  <c r="E34" i="39"/>
  <c r="E17" i="23"/>
  <c r="C27" i="39"/>
  <c r="E16" i="22"/>
  <c r="E27" i="39"/>
  <c r="E17" i="22"/>
  <c r="E20" i="39"/>
  <c r="E18" i="15"/>
  <c r="C20" i="39"/>
  <c r="E17" i="15"/>
  <c r="E18" i="23"/>
  <c r="E13" i="39"/>
  <c r="E21" i="2"/>
  <c r="E18" i="22"/>
  <c r="C13" i="39"/>
  <c r="E20" i="2"/>
  <c r="E19" i="15"/>
  <c r="E22" i="2"/>
  <c r="E15" i="27"/>
  <c r="E16" i="27"/>
  <c r="E27" i="27"/>
  <c r="E9" i="2"/>
  <c r="E34" i="32"/>
  <c r="E40" i="32"/>
  <c r="E43" i="32"/>
  <c r="E22" i="15"/>
  <c r="E25" i="2"/>
  <c r="F11" i="11"/>
  <c r="C10" i="37"/>
  <c r="C11" i="37"/>
  <c r="C12" i="37"/>
  <c r="G11" i="11"/>
  <c r="E11" i="21"/>
  <c r="C11" i="21"/>
  <c r="E11" i="29"/>
  <c r="C11" i="29"/>
  <c r="C14" i="19"/>
  <c r="E14" i="23"/>
  <c r="E18" i="2"/>
  <c r="E14" i="22"/>
  <c r="E15" i="15"/>
  <c r="C12" i="21"/>
  <c r="E12" i="21"/>
  <c r="C12" i="29"/>
  <c r="E12" i="29"/>
  <c r="E13" i="2"/>
  <c r="E12" i="2"/>
  <c r="E11" i="11"/>
  <c r="E10" i="37"/>
  <c r="E11" i="37"/>
  <c r="E12" i="37"/>
  <c r="E11" i="2"/>
  <c r="E14" i="2"/>
  <c r="E15" i="2"/>
  <c r="E16" i="2"/>
  <c r="E26" i="2"/>
  <c r="E9" i="15"/>
  <c r="E11" i="15"/>
  <c r="E12" i="15"/>
  <c r="E13" i="15"/>
  <c r="E23" i="15"/>
  <c r="E8" i="22"/>
  <c r="E10" i="22"/>
  <c r="E11" i="22"/>
  <c r="E12" i="22"/>
  <c r="E19" i="22"/>
  <c r="E8" i="23"/>
  <c r="E10" i="23"/>
  <c r="E11" i="23"/>
  <c r="E12" i="23"/>
  <c r="E19" i="23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<sst xmlns="http://schemas.openxmlformats.org/spreadsheetml/2006/main" count="410" uniqueCount="158">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</sst>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2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2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2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2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2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2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2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2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2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2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2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2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2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2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65</v>
      </c>
      <c r="C8" s="81"/>
      <c r="D8" s="81"/>
      <c r="E8" s="81"/>
      <c r="F8" s="82"/>
      <c r="G8" s="1"/>
    </row>
    <row r="9" spans="1:7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0" t="s">
        <v>66</v>
      </c>
      <c r="C15" s="81"/>
      <c r="D15" s="81"/>
      <c r="E15" s="81"/>
      <c r="F15" s="82"/>
      <c r="G15" s="1"/>
    </row>
    <row r="16" spans="1:7" x14ac:dyDescent="0.2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0" t="s">
        <v>67</v>
      </c>
      <c r="C22" s="81"/>
      <c r="D22" s="81"/>
      <c r="E22" s="81"/>
      <c r="F22" s="82"/>
      <c r="G22" s="1"/>
    </row>
    <row r="23" spans="1:7" x14ac:dyDescent="0.2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0" t="s">
        <v>114</v>
      </c>
      <c r="C29" s="81"/>
      <c r="D29" s="81"/>
      <c r="E29" s="81"/>
      <c r="F29" s="82"/>
      <c r="G29" s="1"/>
    </row>
    <row r="30" spans="1:7" x14ac:dyDescent="0.2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58</v>
      </c>
      <c r="C14" s="81"/>
      <c r="D14" s="81"/>
      <c r="E14" s="81"/>
      <c r="F14" s="82"/>
      <c r="G14" s="1"/>
    </row>
    <row r="15" spans="1:7" ht="26.25" x14ac:dyDescent="0.2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0" t="s">
        <v>60</v>
      </c>
      <c r="C20" s="81"/>
      <c r="D20" s="81"/>
      <c r="E20" s="81"/>
      <c r="F20" s="82"/>
      <c r="G20" s="1"/>
    </row>
    <row r="21" spans="1:7" ht="26.25" x14ac:dyDescent="0.2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0" t="s">
        <v>109</v>
      </c>
      <c r="C26" s="81"/>
      <c r="D26" s="81"/>
      <c r="E26" s="81"/>
      <c r="F26" s="82"/>
      <c r="G26" s="1"/>
    </row>
    <row r="27" spans="1:7" ht="26.25" x14ac:dyDescent="0.2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4" t="s">
        <v>144</v>
      </c>
      <c r="C3" s="64"/>
      <c r="D3" s="1"/>
    </row>
    <row r="4" spans="1:4" ht="25.5" customHeight="1" x14ac:dyDescent="0.25">
      <c r="A4" s="1"/>
      <c r="B4" s="64"/>
      <c r="C4" s="6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14</v>
      </c>
      <c r="C8" s="44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3"/>
      <c r="C14" s="44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3" t="s">
        <v>72</v>
      </c>
      <c r="C17" s="44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2"/>
      <c r="C19" s="93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x14ac:dyDescent="0.25">
      <c r="A9" s="1"/>
      <c r="B9" s="39" t="s">
        <v>26</v>
      </c>
      <c r="C9" s="39"/>
      <c r="D9" s="39"/>
      <c r="E9" s="7">
        <f>'Fane 3. Omkostninger i ØR2020'!E16</f>
        <v>4752222.4361167392</v>
      </c>
      <c r="F9" s="39" t="s">
        <v>3</v>
      </c>
      <c r="G9" s="1"/>
    </row>
    <row r="10" spans="1:7" ht="17.100000000000001" customHeight="1" x14ac:dyDescent="0.25">
      <c r="A10" s="1"/>
      <c r="B10" s="39" t="s">
        <v>120</v>
      </c>
      <c r="C10" s="39"/>
      <c r="D10" s="39"/>
      <c r="E10" s="7">
        <v>-76931.789352540334</v>
      </c>
      <c r="F10" s="39" t="s">
        <v>3</v>
      </c>
      <c r="G10" s="1"/>
    </row>
    <row r="11" spans="1:7" ht="17.100000000000001" customHeight="1" x14ac:dyDescent="0.2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2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2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25">
      <c r="A14" s="1"/>
      <c r="B14" s="27" t="s">
        <v>18</v>
      </c>
      <c r="C14" s="39"/>
      <c r="D14" s="39"/>
      <c r="E14" s="8">
        <f>SUM(E9:E13)*'Fane 10. Nøgletal'!C13</f>
        <v>57038.545890523237</v>
      </c>
      <c r="F14" s="39" t="s">
        <v>3</v>
      </c>
      <c r="G14" s="1"/>
    </row>
    <row r="15" spans="1:7" ht="17.100000000000001" customHeight="1" x14ac:dyDescent="0.25">
      <c r="A15" s="1"/>
      <c r="B15" s="27" t="s">
        <v>72</v>
      </c>
      <c r="C15" s="39"/>
      <c r="D15" s="39"/>
      <c r="E15" s="8">
        <f>-SUM(E9:E14)*'Fane 10. Nøgletal'!C18</f>
        <v>-80449.596275130287</v>
      </c>
      <c r="F15" s="39" t="s">
        <v>3</v>
      </c>
      <c r="G15" s="1"/>
    </row>
    <row r="16" spans="1:7" ht="15" customHeight="1" x14ac:dyDescent="0.25">
      <c r="A16" s="1"/>
      <c r="B16" s="40" t="s">
        <v>20</v>
      </c>
      <c r="C16" s="35"/>
      <c r="D16" s="35"/>
      <c r="E16" s="9">
        <f>SUM(E9:E15)</f>
        <v>4651879.5963795921</v>
      </c>
      <c r="F16" s="37" t="s">
        <v>3</v>
      </c>
      <c r="G16" s="1"/>
    </row>
    <row r="17" spans="1:7" ht="15" customHeight="1" x14ac:dyDescent="0.2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25">
      <c r="A18" s="1"/>
      <c r="B18" s="37" t="s">
        <v>12</v>
      </c>
      <c r="C18" s="37"/>
      <c r="D18" s="37"/>
      <c r="E18" s="9">
        <f>'Fane 4. Ikke-påvirkelige omk.'!C14</f>
        <v>2102992.0226305202</v>
      </c>
      <c r="F18" s="37" t="s">
        <v>3</v>
      </c>
      <c r="G18" s="1"/>
    </row>
    <row r="19" spans="1:7" ht="15" customHeight="1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2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2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2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25">
      <c r="A23" s="1"/>
      <c r="B23" s="36" t="s">
        <v>124</v>
      </c>
      <c r="C23" s="36"/>
      <c r="D23" s="36"/>
      <c r="E23" s="36"/>
      <c r="F23" s="36"/>
      <c r="G23" s="1"/>
    </row>
    <row r="24" spans="1:7" x14ac:dyDescent="0.25">
      <c r="A24" s="1"/>
      <c r="B24" s="40" t="s">
        <v>36</v>
      </c>
      <c r="C24" s="35"/>
      <c r="D24" s="35"/>
      <c r="E24" s="9">
        <f>'Fane 5. Kontrol af ØR2019'!E42</f>
        <v>-254464.27938274949</v>
      </c>
      <c r="F24" s="37" t="s">
        <v>3</v>
      </c>
      <c r="G24" s="1"/>
    </row>
    <row r="25" spans="1:7" x14ac:dyDescent="0.25">
      <c r="A25" s="1"/>
      <c r="B25" s="40" t="s">
        <v>125</v>
      </c>
      <c r="C25" s="35"/>
      <c r="D25" s="35"/>
      <c r="E25" s="9">
        <f>'Fane 5. Kontrol af ØR2019'!E43</f>
        <v>0</v>
      </c>
      <c r="F25" s="37" t="s">
        <v>3</v>
      </c>
      <c r="G25" s="1"/>
    </row>
    <row r="26" spans="1:7" x14ac:dyDescent="0.25">
      <c r="A26" s="1"/>
      <c r="B26" s="36" t="s">
        <v>28</v>
      </c>
      <c r="C26" s="36"/>
      <c r="D26" s="36"/>
      <c r="E26" s="10">
        <f>SUM(E16,E18,E22,E24,E25)</f>
        <v>6500407.3396273628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/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25">
      <c r="A9" s="1"/>
      <c r="B9" s="39" t="s">
        <v>27</v>
      </c>
      <c r="C9" s="39"/>
      <c r="D9" s="39"/>
      <c r="E9" s="7">
        <f>'Fane 2.1. Økonomisk ramme 2021'!E16</f>
        <v>4651879.5963795921</v>
      </c>
      <c r="F9" s="39" t="s">
        <v>3</v>
      </c>
      <c r="G9" s="1"/>
    </row>
    <row r="10" spans="1:7" ht="15" customHeight="1" x14ac:dyDescent="0.2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25">
      <c r="A11" s="1"/>
      <c r="B11" s="34" t="s">
        <v>18</v>
      </c>
      <c r="C11" s="39"/>
      <c r="D11" s="39"/>
      <c r="E11" s="8">
        <f>SUM(E9:E10)*'Fane 10. Nøgletal'!C13</f>
        <v>56752.931075831024</v>
      </c>
      <c r="F11" s="39" t="s">
        <v>3</v>
      </c>
      <c r="G11" s="1"/>
    </row>
    <row r="12" spans="1:7" ht="15" customHeight="1" x14ac:dyDescent="0.25">
      <c r="A12" s="1"/>
      <c r="B12" s="34" t="s">
        <v>72</v>
      </c>
      <c r="C12" s="39"/>
      <c r="D12" s="39"/>
      <c r="E12" s="8">
        <f>-SUM(E9:E11)*'Fane 10. Nøgletal'!C18</f>
        <v>-80046.752966742191</v>
      </c>
      <c r="F12" s="39" t="s">
        <v>3</v>
      </c>
      <c r="G12" s="1"/>
    </row>
    <row r="13" spans="1:7" ht="15" customHeight="1" x14ac:dyDescent="0.25">
      <c r="A13" s="1"/>
      <c r="B13" s="35" t="s">
        <v>20</v>
      </c>
      <c r="C13" s="35"/>
      <c r="D13" s="35"/>
      <c r="E13" s="9">
        <f>SUM(E9:E12)</f>
        <v>4628585.774488681</v>
      </c>
      <c r="F13" s="37" t="s">
        <v>3</v>
      </c>
      <c r="G13" s="1"/>
    </row>
    <row r="14" spans="1:7" x14ac:dyDescent="0.2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25">
      <c r="A15" s="1"/>
      <c r="B15" s="37" t="s">
        <v>12</v>
      </c>
      <c r="C15" s="37"/>
      <c r="D15" s="37"/>
      <c r="E15" s="9">
        <f>'Fane 4. Ikke-påvirkelige omk.'!C14*(1+'Fane 10. Nøgletal'!C13)</f>
        <v>2128648.5253066127</v>
      </c>
      <c r="F15" s="37" t="s">
        <v>3</v>
      </c>
      <c r="G15" s="1"/>
    </row>
    <row r="16" spans="1:7" ht="15" customHeight="1" x14ac:dyDescent="0.2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2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2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2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2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25">
      <c r="A21" s="1"/>
      <c r="B21" s="37" t="s">
        <v>36</v>
      </c>
      <c r="C21" s="37"/>
      <c r="D21" s="37"/>
      <c r="E21" s="9">
        <f>'Fane 5. Kontrol af ØR2019'!E42</f>
        <v>-254464.27938274949</v>
      </c>
      <c r="F21" s="37" t="s">
        <v>3</v>
      </c>
      <c r="G21" s="1"/>
    </row>
    <row r="22" spans="1:7" x14ac:dyDescent="0.25">
      <c r="A22" s="1"/>
      <c r="B22" s="40" t="s">
        <v>125</v>
      </c>
      <c r="C22" s="37"/>
      <c r="D22" s="37"/>
      <c r="E22" s="9">
        <f>'Fane 5. Kontrol af ØR2019'!E43</f>
        <v>0</v>
      </c>
      <c r="F22" s="37" t="s">
        <v>3</v>
      </c>
      <c r="G22" s="1"/>
    </row>
    <row r="23" spans="1:7" x14ac:dyDescent="0.25">
      <c r="A23" s="1"/>
      <c r="B23" s="36" t="s">
        <v>29</v>
      </c>
      <c r="C23" s="36"/>
      <c r="D23" s="36"/>
      <c r="E23" s="10">
        <f>SUM(E13,E15,E19,E21,E22)</f>
        <v>6502770.0204125447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92</v>
      </c>
      <c r="C8" s="39"/>
      <c r="D8" s="39"/>
      <c r="E8" s="7">
        <f>'Fane 2.2. Økonomisk ramme 2022'!E13</f>
        <v>4628585.774488681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56468.746448761915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-79645.92685593653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4605408.5940815061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omk.'!C14*(1+'Fane 10. Nøgletal'!C13)^2</f>
        <v>2154618.0373153533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57</v>
      </c>
      <c r="C19" s="36"/>
      <c r="D19" s="36"/>
      <c r="E19" s="10">
        <f>SUM(E12,E14,E18)</f>
        <v>6760026.6313968599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94</v>
      </c>
      <c r="C8" s="39"/>
      <c r="D8" s="39"/>
      <c r="E8" s="7">
        <f>'Fane 2.3. Økonomisk ramme 2023'!E12</f>
        <v>4605408.5940815061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56185.984847794381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-79247.107841798119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4582347.4710875023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omk.'!C14*(1+'Fane 10. Nøgletal'!C13)^3</f>
        <v>2180904.3773706006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95</v>
      </c>
      <c r="C19" s="36"/>
      <c r="D19" s="36"/>
      <c r="E19" s="10">
        <f>SUM(E12,E14,E18)</f>
        <v>6763251.8484581029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97</v>
      </c>
      <c r="C8" s="36"/>
      <c r="D8" s="36"/>
      <c r="E8" s="36"/>
      <c r="F8" s="36"/>
      <c r="G8" s="1"/>
    </row>
    <row r="9" spans="1:7" x14ac:dyDescent="0.25">
      <c r="A9" s="1"/>
      <c r="B9" s="65" t="s">
        <v>24</v>
      </c>
      <c r="C9" s="65"/>
      <c r="D9" s="65"/>
      <c r="E9" s="7">
        <v>4773780.3508029301</v>
      </c>
      <c r="F9" s="39" t="s">
        <v>3</v>
      </c>
      <c r="G9" s="1"/>
    </row>
    <row r="10" spans="1:7" x14ac:dyDescent="0.2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2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2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2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2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60627.010455197211</v>
      </c>
      <c r="F14" s="39" t="s">
        <v>3</v>
      </c>
      <c r="G14" s="1"/>
    </row>
    <row r="15" spans="1:7" x14ac:dyDescent="0.25">
      <c r="A15" s="1"/>
      <c r="B15" s="66" t="s">
        <v>72</v>
      </c>
      <c r="C15" s="66"/>
      <c r="D15" s="66"/>
      <c r="E15" s="8">
        <f>-SUM(E9:E9,E12:E14)*'Fane 10. Nøgletal'!C18</f>
        <v>-82184.925141388172</v>
      </c>
      <c r="F15" s="39" t="s">
        <v>3</v>
      </c>
      <c r="G15" s="1"/>
    </row>
    <row r="16" spans="1:7" x14ac:dyDescent="0.25">
      <c r="A16" s="1"/>
      <c r="B16" s="71" t="s">
        <v>20</v>
      </c>
      <c r="C16" s="71"/>
      <c r="D16" s="71"/>
      <c r="E16" s="9">
        <f>SUM(E9,E12:E15)</f>
        <v>4752222.4361167392</v>
      </c>
      <c r="F16" s="37" t="s">
        <v>3</v>
      </c>
      <c r="G16" s="1"/>
    </row>
    <row r="17" spans="1:7" x14ac:dyDescent="0.25">
      <c r="A17" s="1"/>
      <c r="B17" s="72" t="s">
        <v>12</v>
      </c>
      <c r="C17" s="72"/>
      <c r="D17" s="72"/>
      <c r="E17" s="36"/>
      <c r="F17" s="36"/>
      <c r="G17" s="1"/>
    </row>
    <row r="18" spans="1:7" x14ac:dyDescent="0.25">
      <c r="A18" s="1"/>
      <c r="B18" s="73" t="s">
        <v>12</v>
      </c>
      <c r="C18" s="73"/>
      <c r="D18" s="73"/>
      <c r="E18" s="9">
        <v>2378561.0065509602</v>
      </c>
      <c r="F18" s="37" t="s">
        <v>3</v>
      </c>
      <c r="G18" s="1"/>
    </row>
    <row r="19" spans="1:7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2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2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2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2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25">
      <c r="A24" s="1"/>
      <c r="B24" s="67" t="s">
        <v>146</v>
      </c>
      <c r="C24" s="68"/>
      <c r="D24" s="69"/>
      <c r="E24" s="9">
        <v>-334961</v>
      </c>
      <c r="F24" s="9" t="s">
        <v>3</v>
      </c>
      <c r="G24" s="1"/>
    </row>
    <row r="25" spans="1:7" x14ac:dyDescent="0.2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2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25">
      <c r="A27" s="1"/>
      <c r="B27" s="36" t="s">
        <v>25</v>
      </c>
      <c r="C27" s="36"/>
      <c r="D27" s="36"/>
      <c r="E27" s="10">
        <f>E16+E18+E22+E24+E26</f>
        <v>6795822.4426676994</v>
      </c>
      <c r="F27" s="11" t="s">
        <v>3</v>
      </c>
      <c r="G27" s="1"/>
    </row>
    <row r="28" spans="1:7" ht="28.5" customHeight="1" x14ac:dyDescent="0.25">
      <c r="A28" s="1"/>
      <c r="B28" s="70" t="s">
        <v>98</v>
      </c>
      <c r="C28" s="70"/>
      <c r="D28" s="70"/>
      <c r="E28" s="70"/>
      <c r="F28" s="7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t9sN2UO2/iv5ueDqaDyib0DO+jgyILGLvTmVh98DLXtBMYfI/FsURhxghbMtvBR6IDsht9pAp1wySJZrLV1Eng==" saltValue="KavE//iwbvU24oSlfX4Fwg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2" t="s">
        <v>69</v>
      </c>
      <c r="C3" s="62"/>
      <c r="D3" s="62"/>
      <c r="E3" s="1"/>
      <c r="F3" s="1"/>
    </row>
    <row r="4" spans="1:6" ht="15" customHeight="1" x14ac:dyDescent="0.25">
      <c r="A4" s="1"/>
      <c r="B4" s="62"/>
      <c r="C4" s="62"/>
      <c r="D4" s="6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0" t="s">
        <v>99</v>
      </c>
      <c r="C8" s="81"/>
      <c r="D8" s="82"/>
      <c r="E8" s="1"/>
      <c r="F8" s="1"/>
    </row>
    <row r="9" spans="1:6" ht="15" customHeight="1" x14ac:dyDescent="0.25">
      <c r="A9" s="1"/>
      <c r="B9" s="17" t="s">
        <v>32</v>
      </c>
      <c r="C9" s="37" t="s">
        <v>100</v>
      </c>
      <c r="D9" s="37"/>
      <c r="E9" s="1"/>
      <c r="F9" s="1"/>
    </row>
    <row r="10" spans="1:6" x14ac:dyDescent="0.25">
      <c r="A10" s="1"/>
      <c r="B10" s="26" t="s">
        <v>154</v>
      </c>
      <c r="C10" s="8">
        <v>2028399</v>
      </c>
      <c r="D10" s="12" t="s">
        <v>3</v>
      </c>
      <c r="E10" s="1"/>
      <c r="F10" s="1"/>
    </row>
    <row r="11" spans="1:6" x14ac:dyDescent="0.25">
      <c r="A11" s="1"/>
      <c r="B11" s="26" t="s">
        <v>155</v>
      </c>
      <c r="C11" s="8">
        <v>8249</v>
      </c>
      <c r="D11" s="12" t="s">
        <v>3</v>
      </c>
      <c r="E11" s="1"/>
      <c r="F11" s="1"/>
    </row>
    <row r="12" spans="1:6" x14ac:dyDescent="0.25">
      <c r="A12" s="1"/>
      <c r="B12" s="26" t="s">
        <v>156</v>
      </c>
      <c r="C12" s="8">
        <v>15955</v>
      </c>
      <c r="D12" s="12" t="s">
        <v>3</v>
      </c>
      <c r="E12" s="1"/>
      <c r="F12" s="1"/>
    </row>
    <row r="13" spans="1:6" x14ac:dyDescent="0.25">
      <c r="A13" s="1"/>
      <c r="B13" s="43" t="s">
        <v>101</v>
      </c>
      <c r="C13" s="10">
        <f>SUM(C10:C12)</f>
        <v>2052603</v>
      </c>
      <c r="D13" s="11" t="s">
        <v>3</v>
      </c>
      <c r="E13" s="1"/>
      <c r="F13" s="1"/>
    </row>
    <row r="14" spans="1:6" x14ac:dyDescent="0.25">
      <c r="A14" s="1"/>
      <c r="B14" s="43" t="s">
        <v>102</v>
      </c>
      <c r="C14" s="10">
        <f>C13*(1+'Fane 10. Nøgletal'!C13)^2</f>
        <v>2102992.0226305202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25">
      <c r="A7" s="1"/>
      <c r="B7" s="89" t="s">
        <v>34</v>
      </c>
      <c r="C7" s="89"/>
      <c r="D7" s="89"/>
      <c r="E7" s="8">
        <v>-412680.11333333334</v>
      </c>
      <c r="F7" s="12" t="s">
        <v>3</v>
      </c>
      <c r="G7" s="1"/>
    </row>
    <row r="8" spans="1:7" ht="15" customHeight="1" x14ac:dyDescent="0.25">
      <c r="A8" s="1"/>
      <c r="B8" s="89" t="s">
        <v>35</v>
      </c>
      <c r="C8" s="89"/>
      <c r="D8" s="89"/>
      <c r="E8" s="8">
        <v>-96248.445432165638</v>
      </c>
      <c r="F8" s="12" t="s">
        <v>3</v>
      </c>
      <c r="G8" s="1"/>
    </row>
    <row r="9" spans="1:7" ht="15" customHeight="1" x14ac:dyDescent="0.25">
      <c r="A9" s="1"/>
      <c r="B9" s="77" t="s">
        <v>76</v>
      </c>
      <c r="C9" s="78"/>
      <c r="D9" s="79"/>
      <c r="E9" s="9">
        <f>SUM(E7:E8)</f>
        <v>-508928.55876549898</v>
      </c>
      <c r="F9" s="15" t="s">
        <v>3</v>
      </c>
      <c r="G9" s="1"/>
    </row>
    <row r="10" spans="1:7" ht="15" customHeight="1" x14ac:dyDescent="0.25">
      <c r="A10" s="1"/>
      <c r="B10" s="80"/>
      <c r="C10" s="81"/>
      <c r="D10" s="81"/>
      <c r="E10" s="81"/>
      <c r="F10" s="82"/>
      <c r="G10" s="1"/>
    </row>
    <row r="11" spans="1:7" ht="27" customHeight="1" x14ac:dyDescent="0.25">
      <c r="A11" s="1"/>
      <c r="B11" s="70" t="s">
        <v>71</v>
      </c>
      <c r="C11" s="70"/>
      <c r="D11" s="70"/>
      <c r="E11" s="70"/>
      <c r="F11" s="70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62</v>
      </c>
      <c r="C14" s="83"/>
      <c r="D14" s="83"/>
      <c r="E14" s="83"/>
      <c r="F14" s="83"/>
      <c r="G14" s="1"/>
    </row>
    <row r="15" spans="1:7" x14ac:dyDescent="0.25">
      <c r="A15" s="1"/>
      <c r="B15" s="89" t="s">
        <v>63</v>
      </c>
      <c r="C15" s="89"/>
      <c r="D15" s="89"/>
      <c r="E15" s="8">
        <v>6774466.0146669513</v>
      </c>
      <c r="F15" s="12" t="s">
        <v>3</v>
      </c>
      <c r="G15" s="1"/>
    </row>
    <row r="16" spans="1:7" x14ac:dyDescent="0.25">
      <c r="A16" s="1"/>
      <c r="B16" s="89" t="s">
        <v>64</v>
      </c>
      <c r="C16" s="89"/>
      <c r="D16" s="89"/>
      <c r="E16" s="8">
        <v>5457623</v>
      </c>
      <c r="F16" s="12" t="s">
        <v>3</v>
      </c>
      <c r="G16" s="1"/>
    </row>
    <row r="17" spans="1:7" x14ac:dyDescent="0.2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25">
      <c r="A18" s="1"/>
      <c r="B18" s="84" t="s">
        <v>136</v>
      </c>
      <c r="C18" s="84"/>
      <c r="D18" s="84"/>
      <c r="E18" s="9">
        <f>E15-(E16-E17)</f>
        <v>1316843.0146669513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25">
      <c r="A23" s="1"/>
      <c r="B23" s="89" t="s">
        <v>45</v>
      </c>
      <c r="C23" s="89"/>
      <c r="D23" s="89"/>
      <c r="E23" s="8">
        <v>6706355.7728162911</v>
      </c>
      <c r="F23" s="12" t="s">
        <v>3</v>
      </c>
      <c r="G23" s="1"/>
    </row>
    <row r="24" spans="1:7" ht="15" customHeight="1" x14ac:dyDescent="0.25">
      <c r="A24" s="1"/>
      <c r="B24" s="89" t="s">
        <v>46</v>
      </c>
      <c r="C24" s="89"/>
      <c r="D24" s="89"/>
      <c r="E24" s="8">
        <v>5066721</v>
      </c>
      <c r="F24" s="12" t="s">
        <v>3</v>
      </c>
      <c r="G24" s="1"/>
    </row>
    <row r="25" spans="1:7" ht="15" customHeight="1" x14ac:dyDescent="0.2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25">
      <c r="A26" s="1"/>
      <c r="B26" s="84" t="s">
        <v>137</v>
      </c>
      <c r="C26" s="84"/>
      <c r="D26" s="84"/>
      <c r="E26" s="9">
        <f>E23-(E24-E25)</f>
        <v>1639634.7728162911</v>
      </c>
      <c r="F26" s="15" t="s">
        <v>3</v>
      </c>
      <c r="G26" s="1"/>
    </row>
    <row r="27" spans="1:7" x14ac:dyDescent="0.25">
      <c r="A27" s="1"/>
      <c r="B27" s="80"/>
      <c r="C27" s="81"/>
      <c r="D27" s="81"/>
      <c r="E27" s="81"/>
      <c r="F27" s="82"/>
      <c r="G27" s="1"/>
    </row>
    <row r="28" spans="1:7" ht="28.5" customHeight="1" x14ac:dyDescent="0.2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3" t="s">
        <v>127</v>
      </c>
      <c r="C30" s="83"/>
      <c r="D30" s="83"/>
      <c r="E30" s="83"/>
      <c r="F30" s="83"/>
      <c r="G30" s="1"/>
    </row>
    <row r="31" spans="1:7" x14ac:dyDescent="0.25">
      <c r="A31" s="1"/>
      <c r="B31" s="89" t="s">
        <v>128</v>
      </c>
      <c r="C31" s="89"/>
      <c r="D31" s="89"/>
      <c r="E31" s="8">
        <v>6522995.2801059354</v>
      </c>
      <c r="F31" s="12" t="s">
        <v>3</v>
      </c>
      <c r="G31" s="1"/>
    </row>
    <row r="32" spans="1:7" x14ac:dyDescent="0.25">
      <c r="A32" s="1"/>
      <c r="B32" s="89" t="s">
        <v>129</v>
      </c>
      <c r="C32" s="89"/>
      <c r="D32" s="89"/>
      <c r="E32" s="8">
        <v>5182260</v>
      </c>
      <c r="F32" s="12" t="s">
        <v>3</v>
      </c>
      <c r="G32" s="1"/>
    </row>
    <row r="33" spans="1:7" x14ac:dyDescent="0.2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25">
      <c r="A34" s="1"/>
      <c r="B34" s="84" t="s">
        <v>138</v>
      </c>
      <c r="C34" s="84"/>
      <c r="D34" s="84"/>
      <c r="E34" s="9">
        <f>E31-(E32-E33)</f>
        <v>1340735.2801059354</v>
      </c>
      <c r="F34" s="15" t="s">
        <v>3</v>
      </c>
      <c r="G34" s="1"/>
    </row>
    <row r="35" spans="1:7" x14ac:dyDescent="0.25">
      <c r="A35" s="1"/>
      <c r="B35" s="80"/>
      <c r="C35" s="81"/>
      <c r="D35" s="81"/>
      <c r="E35" s="81"/>
      <c r="F35" s="82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3" t="s">
        <v>130</v>
      </c>
      <c r="C38" s="83"/>
      <c r="D38" s="83"/>
      <c r="E38" s="83"/>
      <c r="F38" s="83"/>
      <c r="G38" s="1"/>
    </row>
    <row r="39" spans="1:7" x14ac:dyDescent="0.25">
      <c r="A39" s="1"/>
      <c r="B39" s="85" t="s">
        <v>36</v>
      </c>
      <c r="C39" s="85"/>
      <c r="D39" s="85"/>
      <c r="E39" s="8">
        <f>E9</f>
        <v>-508928.55876549898</v>
      </c>
      <c r="F39" s="12" t="s">
        <v>3</v>
      </c>
      <c r="G39" s="1"/>
    </row>
    <row r="40" spans="1:7" x14ac:dyDescent="0.25">
      <c r="A40" s="1"/>
      <c r="B40" s="85" t="s">
        <v>135</v>
      </c>
      <c r="C40" s="85"/>
      <c r="D40" s="85"/>
      <c r="E40" s="8">
        <f>IF(E18+E26+E34&lt;0,E18+E26+E34,0)</f>
        <v>0</v>
      </c>
      <c r="F40" s="12" t="s">
        <v>3</v>
      </c>
      <c r="G40" s="1"/>
    </row>
    <row r="41" spans="1:7" x14ac:dyDescent="0.2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25">
      <c r="A42" s="1"/>
      <c r="B42" s="84" t="s">
        <v>133</v>
      </c>
      <c r="C42" s="84"/>
      <c r="D42" s="84"/>
      <c r="E42" s="9">
        <f>SUM(E39)/E41</f>
        <v>-254464.27938274949</v>
      </c>
      <c r="F42" s="15" t="s">
        <v>3</v>
      </c>
      <c r="G42" s="1"/>
    </row>
    <row r="43" spans="1:7" x14ac:dyDescent="0.25">
      <c r="A43" s="1"/>
      <c r="B43" s="84" t="s">
        <v>134</v>
      </c>
      <c r="C43" s="84"/>
      <c r="D43" s="84"/>
      <c r="E43" s="9">
        <f>E40/E41</f>
        <v>0</v>
      </c>
      <c r="F43" s="15" t="s">
        <v>3</v>
      </c>
      <c r="G43" s="1"/>
    </row>
    <row r="44" spans="1:7" x14ac:dyDescent="0.25">
      <c r="A44" s="1"/>
      <c r="B44" s="83"/>
      <c r="C44" s="83"/>
      <c r="D44" s="83"/>
      <c r="E44" s="83"/>
      <c r="F44" s="83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2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25">
      <c r="A10" s="1"/>
      <c r="B10" s="45" t="s">
        <v>157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2020-10-14T12:56:26Z</dcterms:modified>
</cp:coreProperties>
</file>