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Novafos Spildevand Egedal AS (S013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4" i="19"/>
  <c r="E28" i="20" l="1"/>
  <c r="E22" i="20"/>
  <c r="E16" i="20"/>
  <c r="E10" i="20"/>
  <c r="E10" i="11" l="1"/>
  <c r="G7" i="30" l="1"/>
  <c r="G11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5" i="30" s="1"/>
  <c r="E30" i="21" l="1"/>
  <c r="G60" i="36" s="1"/>
  <c r="C30" i="21"/>
  <c r="G59" i="30" s="1"/>
  <c r="E24" i="21"/>
  <c r="G54" i="36" s="1"/>
  <c r="C24" i="21"/>
  <c r="G53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5" i="30"/>
  <c r="G19" i="30" s="1"/>
  <c r="G23" i="36" l="1"/>
  <c r="G25" i="36" s="1"/>
  <c r="G21" i="30"/>
  <c r="G29" i="36" l="1"/>
  <c r="G25" i="30"/>
  <c r="G31" i="36" l="1"/>
  <c r="F11" i="11"/>
  <c r="C10" i="37" s="1"/>
  <c r="C13" i="37" s="1"/>
  <c r="C14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5" i="19"/>
  <c r="C18" i="23" l="1"/>
  <c r="C18" i="22"/>
  <c r="C18" i="15"/>
  <c r="C15" i="2"/>
  <c r="C14" i="2"/>
  <c r="C22" i="2"/>
  <c r="C12" i="2"/>
  <c r="G38" i="30" s="1"/>
  <c r="G44" i="30" s="1"/>
  <c r="C13" i="2"/>
  <c r="G27" i="30" l="1"/>
  <c r="G31" i="30" l="1"/>
  <c r="E11" i="11"/>
  <c r="E10" i="37" s="1"/>
  <c r="E13" i="37" s="1"/>
  <c r="E14" i="37" s="1"/>
  <c r="C11" i="2" l="1"/>
  <c r="G36" i="36" s="1"/>
  <c r="G33" i="30"/>
  <c r="E18" i="27" s="1"/>
  <c r="G42" i="36" l="1"/>
  <c r="G37" i="36"/>
  <c r="G41" i="36" s="1"/>
  <c r="G37" i="30"/>
  <c r="E20" i="27"/>
  <c r="E33" i="27" s="1"/>
  <c r="C9" i="2" l="1"/>
  <c r="C16" i="2" s="1"/>
  <c r="G39" i="30"/>
  <c r="G43" i="30" s="1"/>
  <c r="G46" i="30" s="1"/>
  <c r="G52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4" i="30"/>
  <c r="C12" i="22" l="1"/>
  <c r="C13" i="22" s="1"/>
  <c r="C14" i="22"/>
  <c r="G58" i="30"/>
  <c r="G60" i="30" s="1"/>
  <c r="C14" i="23" s="1"/>
  <c r="C16" i="22" l="1"/>
  <c r="C9" i="23" l="1"/>
  <c r="C12" i="23" s="1"/>
  <c r="C27" i="22"/>
  <c r="C13" i="23" l="1"/>
  <c r="C16" i="23" s="1"/>
  <c r="C27" i="23" s="1"/>
</calcChain>
</file>

<file path=xl/sharedStrings.xml><?xml version="1.0" encoding="utf-8"?>
<sst xmlns="http://schemas.openxmlformats.org/spreadsheetml/2006/main" count="710" uniqueCount="287">
  <si>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</si>
  <si>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</si>
  <si>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</si>
  <si>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</si>
  <si>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</si>
  <si>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</si>
  <si>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</si>
  <si>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</si>
  <si>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</si>
  <si>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</si>
  <si>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</si>
  <si>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</si>
  <si>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</si>
  <si>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</si>
  <si>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</si>
  <si>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</si>
  <si>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</si>
  <si>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</si>
  <si>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</si>
  <si>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</si>
  <si>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</si>
  <si>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</si>
  <si>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</si>
  <si>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</si>
  <si>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</si>
  <si>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</si>
  <si>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</si>
  <si>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</si>
  <si>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</si>
  <si>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</si>
  <si>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</si>
  <si>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</si>
  <si>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</si>
  <si>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</si>
  <si>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</si>
  <si>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</si>
  <si>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</si>
  <si>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</si>
  <si>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</si>
  <si>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</si>
  <si>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</si>
  <si>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</si>
  <si>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</si>
  <si>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</si>
  <si>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</si>
  <si>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</si>
  <si>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</si>
  <si>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</si>
  <si>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</si>
  <si>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</si>
  <si>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</si>
  <si>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</si>
  <si>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</si>
  <si>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</si>
  <si>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</si>
  <si>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</si>
  <si>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</si>
  <si>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</si>
  <si>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</si>
  <si>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</si>
  <si>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</si>
  <si>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</si>
  <si>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</si>
  <si>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</si>
  <si>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</si>
  <si>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</si>
  <si>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</si>
  <si>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</si>
  <si>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</si>
  <si>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</si>
  <si>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</si>
  <si>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</si>
  <si>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</si>
  <si>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</si>
  <si>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</si>
  <si>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</si>
  <si>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</si>
  <si>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</si>
  <si>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</si>
  <si>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</si>
  <si>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</si>
  <si>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</si>
  <si>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</si>
  <si>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</si>
  <si>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</si>
  <si>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</si>
  <si>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</si>
  <si>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</si>
  <si>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</si>
  <si>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</si>
  <si>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</si>
  <si>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</si>
  <si>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</si>
  <si>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</si>
  <si>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</si>
  <si>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</si>
  <si>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</si>
  <si>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</si>
  <si>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</si>
  <si>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</si>
  <si>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</si>
  <si>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</si>
  <si>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</si>
  <si>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</si>
  <si>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</si>
  <si>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</si>
  <si>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</si>
  <si>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</si>
  <si>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</si>
  <si>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</si>
  <si>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</si>
  <si>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</si>
  <si>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</si>
  <si>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</si>
  <si>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</si>
  <si>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</si>
  <si>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</si>
  <si>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</si>
  <si>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</si>
  <si>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</si>
  <si>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</si>
  <si>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</si>
  <si>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</si>
  <si>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</si>
  <si>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</si>
  <si>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</si>
  <si>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</si>
  <si>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</si>
  <si>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</si>
  <si>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</si>
  <si>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</si>
  <si>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</si>
  <si>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</si>
  <si>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</si>
  <si>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</si>
  <si>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</si>
  <si>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</si>
  <si>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</si>
  <si>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</si>
  <si>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</si>
  <si>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</si>
  <si>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</si>
  <si>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</si>
  <si>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</si>
  <si>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</si>
  <si>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</si>
  <si>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</si>
  <si>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</si>
  <si>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</si>
  <si>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</si>
  <si>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</si>
  <si>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</si>
  <si>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</si>
  <si>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</si>
  <si>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</si>
  <si>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</si>
  <si>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</si>
  <si>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</si>
  <si>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</si>
  <si>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</si>
  <si>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</si>
  <si>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</si>
  <si>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</si>
  <si>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</si>
  <si>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</si>
  <si>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</si>
  <si>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</si>
  <si>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</si>
  <si>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</si>
  <si>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</si>
  <si>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</si>
  <si>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</si>
  <si>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</si>
  <si>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</si>
  <si>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</si>
  <si>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</si>
  <si>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</si>
  <si>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</si>
  <si>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</si>
  <si>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</si>
  <si>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</si>
  <si>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</si>
  <si>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</si>
  <si>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</si>
  <si>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</si>
  <si>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</si>
  <si>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</si>
  <si>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</si>
  <si>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</si>
  <si>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</si>
  <si>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</si>
  <si>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</si>
  <si>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</si>
  <si>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</si>
  <si>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</si>
  <si>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</si>
  <si>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</si>
  <si>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</si>
  <si>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</si>
  <si>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</si>
  <si>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</si>
  <si>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</si>
  <si>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</si>
  <si>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</si>
  <si>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</si>
  <si>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</si>
  <si>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</si>
  <si>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</si>
  <si>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</si>
  <si>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</si>
  <si>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</si>
  <si>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</si>
  <si>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</si>
  <si>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</si>
  <si>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</si>
  <si>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</si>
  <si>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</si>
  <si>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</si>
  <si>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</si>
  <si>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</si>
  <si>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</si>
  <si>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</si>
  <si>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</si>
  <si>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</si>
  <si>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</si>
  <si>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</si>
  <si>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</si>
  <si>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</si>
  <si>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</si>
  <si>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</si>
  <si>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</si>
  <si>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</si>
  <si>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</si>
  <si>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</si>
  <si>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</si>
  <si>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</si>
  <si>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</si>
  <si>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</si>
  <si>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</si>
  <si>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</si>
  <si>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</si>
  <si>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</si>
  <si>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</si>
  <si>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</si>
  <si>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</si>
  <si>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</si>
  <si>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</si>
  <si>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</si>
  <si>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</si>
  <si>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</si>
  <si>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</si>
  <si>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</si>
  <si>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</si>
  <si>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</si>
  <si>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</si>
  <si>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</si>
  <si>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</si>
  <si>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</si>
  <si>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</si>
  <si>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</si>
  <si>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</si>
  <si>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Flytning af ledning på Kirkevangen</t>
  </si>
  <si>
    <t>Udvidelse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</si>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</sst>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285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245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17</v>
      </c>
      <c r="D14" s="77" t="s">
        <v>246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37</v>
      </c>
      <c r="D15" s="77" t="s">
        <v>160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38</v>
      </c>
      <c r="D16" s="77" t="s">
        <v>247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144</v>
      </c>
      <c r="D17" s="77" t="s">
        <v>248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124</v>
      </c>
      <c r="D18" s="74" t="s">
        <v>110</v>
      </c>
      <c r="E18" s="75"/>
      <c r="F18" s="75"/>
      <c r="G18" s="76"/>
      <c r="H18" s="1"/>
      <c r="I18" s="1"/>
    </row>
    <row r="19" spans="1:9" x14ac:dyDescent="0.25">
      <c r="A19" s="1"/>
      <c r="B19" s="1"/>
      <c r="C19" s="6" t="s">
        <v>125</v>
      </c>
      <c r="D19" s="74" t="s">
        <v>111</v>
      </c>
      <c r="E19" s="75"/>
      <c r="F19" s="75"/>
      <c r="G19" s="76"/>
      <c r="H19" s="1"/>
      <c r="I19" s="1"/>
    </row>
    <row r="20" spans="1:9" x14ac:dyDescent="0.25">
      <c r="A20" s="1"/>
      <c r="B20" s="1"/>
      <c r="C20" s="6" t="s">
        <v>7</v>
      </c>
      <c r="D20" s="74" t="s">
        <v>10</v>
      </c>
      <c r="E20" s="75"/>
      <c r="F20" s="75"/>
      <c r="G20" s="76"/>
      <c r="H20" s="1"/>
      <c r="I20" s="1"/>
    </row>
    <row r="21" spans="1:9" x14ac:dyDescent="0.25">
      <c r="A21" s="1"/>
      <c r="B21" s="1"/>
      <c r="C21" s="6" t="s">
        <v>126</v>
      </c>
      <c r="D21" s="81" t="s">
        <v>13</v>
      </c>
      <c r="E21" s="82"/>
      <c r="F21" s="82"/>
      <c r="G21" s="83"/>
      <c r="H21" s="1"/>
      <c r="I21" s="1"/>
    </row>
    <row r="22" spans="1:9" x14ac:dyDescent="0.25">
      <c r="A22" s="1"/>
      <c r="B22" s="1"/>
      <c r="C22" s="6" t="s">
        <v>91</v>
      </c>
      <c r="D22" s="68" t="s">
        <v>249</v>
      </c>
      <c r="E22" s="69"/>
      <c r="F22" s="69"/>
      <c r="G22" s="70"/>
      <c r="H22" s="1"/>
      <c r="I22" s="1"/>
    </row>
    <row r="23" spans="1:9" x14ac:dyDescent="0.25">
      <c r="A23" s="1"/>
      <c r="B23" s="1"/>
      <c r="C23" s="6" t="s">
        <v>8</v>
      </c>
      <c r="D23" s="68" t="s">
        <v>195</v>
      </c>
      <c r="E23" s="69"/>
      <c r="F23" s="69"/>
      <c r="G23" s="70"/>
      <c r="H23" s="1"/>
      <c r="I23" s="1"/>
    </row>
    <row r="24" spans="1:9" x14ac:dyDescent="0.25">
      <c r="A24" s="1"/>
      <c r="B24" s="1"/>
      <c r="C24" s="6" t="s">
        <v>9</v>
      </c>
      <c r="D24" s="68" t="s">
        <v>39</v>
      </c>
      <c r="E24" s="69"/>
      <c r="F24" s="69"/>
      <c r="G24" s="70"/>
      <c r="H24" s="1"/>
      <c r="I24" s="1"/>
    </row>
    <row r="25" spans="1:9" x14ac:dyDescent="0.25">
      <c r="A25" s="1"/>
      <c r="B25" s="1"/>
      <c r="C25" s="6" t="s">
        <v>127</v>
      </c>
      <c r="D25" s="68" t="s">
        <v>92</v>
      </c>
      <c r="E25" s="69"/>
      <c r="F25" s="69"/>
      <c r="G25" s="70"/>
      <c r="H25" s="1"/>
      <c r="I25" s="1"/>
    </row>
    <row r="26" spans="1:9" x14ac:dyDescent="0.25">
      <c r="A26" s="1"/>
      <c r="B26" s="1"/>
      <c r="C26" s="6" t="s">
        <v>128</v>
      </c>
      <c r="D26" s="68" t="s">
        <v>93</v>
      </c>
      <c r="E26" s="69"/>
      <c r="F26" s="69"/>
      <c r="G26" s="70"/>
      <c r="H26" s="1"/>
      <c r="I26" s="1"/>
    </row>
    <row r="27" spans="1:9" x14ac:dyDescent="0.25">
      <c r="A27" s="1"/>
      <c r="B27" s="1"/>
      <c r="C27" s="6" t="s">
        <v>129</v>
      </c>
      <c r="D27" s="68" t="s">
        <v>94</v>
      </c>
      <c r="E27" s="69"/>
      <c r="F27" s="69"/>
      <c r="G27" s="70"/>
      <c r="H27" s="1"/>
      <c r="I27" s="1"/>
    </row>
    <row r="28" spans="1:9" x14ac:dyDescent="0.25">
      <c r="A28" s="1"/>
      <c r="B28" s="1"/>
      <c r="C28" s="6" t="s">
        <v>16</v>
      </c>
      <c r="D28" s="68" t="s">
        <v>161</v>
      </c>
      <c r="E28" s="69"/>
      <c r="F28" s="69"/>
      <c r="G28" s="70"/>
      <c r="H28" s="1"/>
      <c r="I28" s="1"/>
    </row>
    <row r="29" spans="1:9" x14ac:dyDescent="0.25">
      <c r="A29" s="1"/>
      <c r="B29" s="1"/>
      <c r="C29" s="6" t="s">
        <v>41</v>
      </c>
      <c r="D29" s="68" t="s">
        <v>40</v>
      </c>
      <c r="E29" s="69"/>
      <c r="F29" s="69"/>
      <c r="G29" s="70"/>
      <c r="H29" s="1"/>
      <c r="I29" s="1"/>
    </row>
    <row r="30" spans="1:9" x14ac:dyDescent="0.25">
      <c r="A30" s="1"/>
      <c r="B30" s="1"/>
      <c r="C30" s="6" t="s">
        <v>42</v>
      </c>
      <c r="D30" s="71" t="s">
        <v>123</v>
      </c>
      <c r="E30" s="72"/>
      <c r="F30" s="72"/>
      <c r="G30" s="73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yFK7Qp6kxYZIHmFbL5CNQQt1FqKKtyrQMVrOTljE2wh3g3Hpfa6YFLcnLFknq3ypoqG1z5n0B/nRUqnCtnnJw==" saltValue="4rY9AKx/6QzN5MeBIeBapw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6" t="s">
        <v>132</v>
      </c>
      <c r="C3" s="86"/>
      <c r="D3" s="86"/>
      <c r="E3" s="1"/>
      <c r="F3" s="1"/>
    </row>
    <row r="4" spans="1:6" ht="15" customHeight="1" x14ac:dyDescent="0.25">
      <c r="A4" s="1"/>
      <c r="B4" s="86"/>
      <c r="C4" s="86"/>
      <c r="D4" s="8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8" t="s">
        <v>208</v>
      </c>
      <c r="C8" s="99"/>
      <c r="D8" s="100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4" t="s">
        <v>264</v>
      </c>
      <c r="C10" s="9">
        <v>364218</v>
      </c>
      <c r="D10" s="14" t="s">
        <v>3</v>
      </c>
      <c r="E10" s="1"/>
      <c r="F10" s="1"/>
    </row>
    <row r="11" spans="1:6" x14ac:dyDescent="0.25">
      <c r="A11" s="1"/>
      <c r="B11" s="64" t="s">
        <v>265</v>
      </c>
      <c r="C11" s="9">
        <v>68373</v>
      </c>
      <c r="D11" s="14" t="s">
        <v>3</v>
      </c>
      <c r="E11" s="1"/>
      <c r="F11" s="1"/>
    </row>
    <row r="12" spans="1:6" x14ac:dyDescent="0.25">
      <c r="A12" s="1"/>
      <c r="B12" s="64" t="s">
        <v>266</v>
      </c>
      <c r="C12" s="9">
        <v>3964356</v>
      </c>
      <c r="D12" s="14" t="s">
        <v>3</v>
      </c>
      <c r="E12" s="1"/>
      <c r="F12" s="1"/>
    </row>
    <row r="13" spans="1:6" x14ac:dyDescent="0.25">
      <c r="A13" s="1"/>
      <c r="B13" s="64" t="s">
        <v>267</v>
      </c>
      <c r="C13" s="9">
        <v>6614</v>
      </c>
      <c r="D13" s="14" t="s">
        <v>3</v>
      </c>
      <c r="E13" s="1"/>
      <c r="F13" s="1"/>
    </row>
    <row r="14" spans="1:6" x14ac:dyDescent="0.25">
      <c r="A14" s="1"/>
      <c r="B14" s="38" t="s">
        <v>209</v>
      </c>
      <c r="C14" s="12">
        <f>SUM(C10:C13)</f>
        <v>4403561</v>
      </c>
      <c r="D14" s="13" t="s">
        <v>3</v>
      </c>
      <c r="E14" s="1"/>
      <c r="F14" s="1"/>
    </row>
    <row r="15" spans="1:6" x14ac:dyDescent="0.25">
      <c r="A15" s="1"/>
      <c r="B15" s="38" t="s">
        <v>210</v>
      </c>
      <c r="C15" s="12">
        <f>C14*(1+'Fane 14. Nøgletal'!C14)^2</f>
        <v>4432672.4573792908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8" t="s">
        <v>142</v>
      </c>
      <c r="C18" s="99"/>
      <c r="D18" s="100"/>
      <c r="E18" s="1"/>
      <c r="F18" s="1"/>
    </row>
    <row r="19" spans="1:6" x14ac:dyDescent="0.25">
      <c r="A19" s="1"/>
      <c r="B19" s="64" t="s">
        <v>116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64" t="s">
        <v>117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64" t="s">
        <v>154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64" t="s">
        <v>211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98"/>
      <c r="C23" s="99"/>
      <c r="D23" s="100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8" t="s">
        <v>115</v>
      </c>
      <c r="C26" s="99"/>
      <c r="D26" s="100"/>
      <c r="E26" s="1"/>
      <c r="F26" s="1"/>
    </row>
    <row r="27" spans="1:6" x14ac:dyDescent="0.25">
      <c r="A27" s="1"/>
      <c r="B27" s="64" t="s">
        <v>116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64" t="s">
        <v>117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4" t="s">
        <v>154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4" t="s">
        <v>211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8"/>
      <c r="C31" s="99"/>
      <c r="D31" s="100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QOA9JnagSJe+e2lzeCkkwjyno6p18OzsOnp58jidW9l0F23SThzw86ktKPw3BmB0ihXfwYubIVahVw5nzuouXA==" saltValue="T+Fe2Fv+RbHGbq57BDfs+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1" t="s">
        <v>212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ht="15" customHeight="1" x14ac:dyDescent="0.25">
      <c r="A5" s="1"/>
      <c r="B5" s="60"/>
      <c r="C5" s="60"/>
      <c r="D5" s="60"/>
      <c r="E5" s="60"/>
      <c r="F5" s="60"/>
      <c r="G5" s="1"/>
    </row>
    <row r="6" spans="1:7" ht="15" customHeight="1" x14ac:dyDescent="0.25">
      <c r="A6" s="1"/>
      <c r="B6" s="60"/>
      <c r="C6" s="60"/>
      <c r="D6" s="60"/>
      <c r="E6" s="60"/>
      <c r="F6" s="6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269</v>
      </c>
      <c r="C8" s="99"/>
      <c r="D8" s="99"/>
      <c r="E8" s="99"/>
      <c r="F8" s="100"/>
      <c r="G8" s="1"/>
    </row>
    <row r="9" spans="1:7" x14ac:dyDescent="0.25">
      <c r="A9" s="1"/>
      <c r="B9" s="103" t="s">
        <v>270</v>
      </c>
      <c r="C9" s="104"/>
      <c r="D9" s="105"/>
      <c r="E9" s="9">
        <v>5369977.2584359422</v>
      </c>
      <c r="F9" s="14" t="s">
        <v>3</v>
      </c>
      <c r="G9" s="1"/>
    </row>
    <row r="10" spans="1:7" x14ac:dyDescent="0.25">
      <c r="A10" s="1"/>
      <c r="B10" s="103" t="s">
        <v>271</v>
      </c>
      <c r="C10" s="104"/>
      <c r="D10" s="105"/>
      <c r="E10" s="9">
        <v>13378593.386295155</v>
      </c>
      <c r="F10" s="14" t="s">
        <v>3</v>
      </c>
      <c r="G10" s="1"/>
    </row>
    <row r="11" spans="1:7" x14ac:dyDescent="0.25">
      <c r="A11" s="1"/>
      <c r="B11" s="103" t="s">
        <v>272</v>
      </c>
      <c r="C11" s="104"/>
      <c r="D11" s="105"/>
      <c r="E11" s="9">
        <v>13378593.386295155</v>
      </c>
      <c r="F11" s="14" t="s">
        <v>3</v>
      </c>
      <c r="G11" s="1"/>
    </row>
    <row r="12" spans="1:7" x14ac:dyDescent="0.25">
      <c r="A12" s="1"/>
      <c r="B12" s="103" t="s">
        <v>273</v>
      </c>
      <c r="C12" s="104"/>
      <c r="D12" s="105"/>
      <c r="E12" s="9">
        <v>11454533.418121889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88" t="s">
        <v>274</v>
      </c>
      <c r="C14" s="89"/>
      <c r="D14" s="89"/>
      <c r="E14" s="89"/>
      <c r="F14" s="90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8" t="s">
        <v>275</v>
      </c>
      <c r="C16" s="99"/>
      <c r="D16" s="99"/>
      <c r="E16" s="99"/>
      <c r="F16" s="100"/>
      <c r="G16" s="1"/>
    </row>
    <row r="17" spans="1:7" x14ac:dyDescent="0.25">
      <c r="A17" s="1"/>
      <c r="B17" s="103" t="s">
        <v>276</v>
      </c>
      <c r="C17" s="104"/>
      <c r="D17" s="105"/>
      <c r="E17" s="9">
        <v>0</v>
      </c>
      <c r="F17" s="14" t="s">
        <v>3</v>
      </c>
      <c r="G17" s="1"/>
    </row>
    <row r="18" spans="1:7" x14ac:dyDescent="0.25">
      <c r="A18" s="1"/>
      <c r="B18" s="103" t="s">
        <v>277</v>
      </c>
      <c r="C18" s="104"/>
      <c r="D18" s="105"/>
      <c r="E18" s="9">
        <v>0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88" t="s">
        <v>278</v>
      </c>
      <c r="C20" s="89"/>
      <c r="D20" s="89"/>
      <c r="E20" s="89"/>
      <c r="F20" s="90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5" t="s">
        <v>213</v>
      </c>
      <c r="C22" s="56"/>
      <c r="D22" s="56"/>
      <c r="E22" s="56"/>
      <c r="F22" s="57"/>
      <c r="G22" s="1"/>
    </row>
    <row r="23" spans="1:7" x14ac:dyDescent="0.25">
      <c r="A23" s="1"/>
      <c r="B23" s="61" t="s">
        <v>214</v>
      </c>
      <c r="C23" s="62"/>
      <c r="D23" s="63"/>
      <c r="E23" s="9">
        <v>67973626.625815764</v>
      </c>
      <c r="F23" s="14" t="s">
        <v>3</v>
      </c>
      <c r="G23" s="1"/>
    </row>
    <row r="24" spans="1:7" x14ac:dyDescent="0.25">
      <c r="A24" s="1"/>
      <c r="B24" s="61" t="s">
        <v>215</v>
      </c>
      <c r="C24" s="62"/>
      <c r="D24" s="63"/>
      <c r="E24" s="9">
        <v>57168465</v>
      </c>
      <c r="F24" s="14" t="s">
        <v>3</v>
      </c>
      <c r="G24" s="1"/>
    </row>
    <row r="25" spans="1:7" x14ac:dyDescent="0.25">
      <c r="A25" s="1"/>
      <c r="B25" s="61" t="s">
        <v>36</v>
      </c>
      <c r="C25" s="62"/>
      <c r="D25" s="63"/>
      <c r="E25" s="9">
        <v>0</v>
      </c>
      <c r="F25" s="14" t="s">
        <v>3</v>
      </c>
      <c r="G25" s="1"/>
    </row>
    <row r="26" spans="1:7" x14ac:dyDescent="0.25">
      <c r="A26" s="1"/>
      <c r="B26" s="58" t="s">
        <v>279</v>
      </c>
      <c r="C26" s="59"/>
      <c r="D26" s="66"/>
      <c r="E26" s="48">
        <f>E23-(E24-E25)</f>
        <v>10805161.625815764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8" t="s">
        <v>186</v>
      </c>
      <c r="C30" s="99"/>
      <c r="D30" s="99"/>
      <c r="E30" s="99"/>
      <c r="F30" s="100"/>
      <c r="G30" s="1"/>
    </row>
    <row r="31" spans="1:7" x14ac:dyDescent="0.25">
      <c r="A31" s="1"/>
      <c r="B31" s="115" t="s">
        <v>283</v>
      </c>
      <c r="C31" s="116"/>
      <c r="D31" s="117"/>
      <c r="E31" s="9">
        <v>3</v>
      </c>
      <c r="F31" s="14"/>
      <c r="G31" s="1"/>
    </row>
    <row r="32" spans="1:7" x14ac:dyDescent="0.25">
      <c r="A32" s="1"/>
      <c r="B32" s="115" t="s">
        <v>187</v>
      </c>
      <c r="C32" s="116"/>
      <c r="D32" s="117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25">
      <c r="A33" s="1"/>
      <c r="B33" s="115" t="s">
        <v>120</v>
      </c>
      <c r="C33" s="116"/>
      <c r="D33" s="117"/>
      <c r="E33" s="9">
        <v>2</v>
      </c>
      <c r="F33" s="14" t="s">
        <v>21</v>
      </c>
      <c r="G33" s="1"/>
    </row>
    <row r="34" spans="1:7" x14ac:dyDescent="0.25">
      <c r="A34" s="1"/>
      <c r="B34" s="118" t="s">
        <v>188</v>
      </c>
      <c r="C34" s="118"/>
      <c r="D34" s="118"/>
      <c r="E34" s="10">
        <f>E32/E33</f>
        <v>0</v>
      </c>
      <c r="F34" s="17" t="s">
        <v>3</v>
      </c>
      <c r="G34" s="1"/>
    </row>
    <row r="35" spans="1:7" x14ac:dyDescent="0.25">
      <c r="A35" s="1"/>
      <c r="B35" s="119"/>
      <c r="C35" s="120"/>
      <c r="D35" s="120"/>
      <c r="E35" s="120"/>
      <c r="F35" s="121"/>
      <c r="G35" s="1"/>
    </row>
    <row r="36" spans="1:7" ht="75" customHeight="1" x14ac:dyDescent="0.25">
      <c r="A36" s="1"/>
      <c r="B36" s="88" t="s">
        <v>282</v>
      </c>
      <c r="C36" s="89"/>
      <c r="D36" s="89"/>
      <c r="E36" s="89"/>
      <c r="F36" s="9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uWzJbtbhCnZMxGXdBKc+Ex9rFDIVFnvRKfRiJ4/uU0tUlsjPakFYOZ8FZ0hsP9ZUKpPWHre2JNXRN+IfOxHYkw==" saltValue="v308mFRMDbx1VjncdEx2hQ==" spinCount="100000" sheet="1" objects="1" scenarios="1"/>
  <mergeCells count="18"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2:D32"/>
    <mergeCell ref="B33:D33"/>
    <mergeCell ref="B34:D34"/>
    <mergeCell ref="B35:F35"/>
    <mergeCell ref="B36:F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1" t="s">
        <v>216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8" t="s">
        <v>217</v>
      </c>
      <c r="C9" s="99"/>
      <c r="D9" s="99"/>
      <c r="E9" s="99"/>
      <c r="F9" s="100"/>
      <c r="G9" s="1"/>
    </row>
    <row r="10" spans="1:7" x14ac:dyDescent="0.25">
      <c r="A10" s="1"/>
      <c r="B10" s="88" t="s">
        <v>118</v>
      </c>
      <c r="C10" s="89"/>
      <c r="D10" s="90"/>
      <c r="E10" s="7">
        <v>1711195.88519197</v>
      </c>
      <c r="F10" s="8" t="s">
        <v>3</v>
      </c>
      <c r="G10" s="1"/>
    </row>
    <row r="11" spans="1:7" x14ac:dyDescent="0.25">
      <c r="A11" s="1"/>
      <c r="B11" s="103" t="s">
        <v>218</v>
      </c>
      <c r="C11" s="104"/>
      <c r="D11" s="105"/>
      <c r="E11" s="7">
        <v>2697782</v>
      </c>
      <c r="F11" s="8" t="s">
        <v>3</v>
      </c>
      <c r="G11" s="1"/>
    </row>
    <row r="12" spans="1:7" x14ac:dyDescent="0.25">
      <c r="A12" s="1"/>
      <c r="B12" s="101" t="s">
        <v>119</v>
      </c>
      <c r="C12" s="102"/>
      <c r="D12" s="122"/>
      <c r="E12" s="10">
        <f>E11-E10</f>
        <v>986586.11480802996</v>
      </c>
      <c r="F12" s="11" t="s">
        <v>3</v>
      </c>
      <c r="G12" s="1"/>
    </row>
    <row r="13" spans="1:7" x14ac:dyDescent="0.25">
      <c r="A13" s="1"/>
      <c r="B13" s="98" t="s">
        <v>109</v>
      </c>
      <c r="C13" s="99"/>
      <c r="D13" s="99"/>
      <c r="E13" s="99"/>
      <c r="F13" s="100"/>
      <c r="G13" s="1"/>
    </row>
    <row r="14" spans="1:7" x14ac:dyDescent="0.25">
      <c r="A14" s="1"/>
      <c r="B14" s="103" t="s">
        <v>219</v>
      </c>
      <c r="C14" s="104"/>
      <c r="D14" s="105"/>
      <c r="E14" s="9">
        <v>0</v>
      </c>
      <c r="F14" s="8" t="s">
        <v>3</v>
      </c>
      <c r="G14" s="1"/>
    </row>
    <row r="15" spans="1:7" x14ac:dyDescent="0.25">
      <c r="A15" s="1"/>
      <c r="B15" s="88" t="s">
        <v>220</v>
      </c>
      <c r="C15" s="89"/>
      <c r="D15" s="90"/>
      <c r="E15" s="9">
        <v>0</v>
      </c>
      <c r="F15" s="8" t="s">
        <v>3</v>
      </c>
      <c r="G15" s="1"/>
    </row>
    <row r="16" spans="1:7" x14ac:dyDescent="0.25">
      <c r="A16" s="1"/>
      <c r="B16" s="101" t="s">
        <v>119</v>
      </c>
      <c r="C16" s="102"/>
      <c r="D16" s="122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986586.11480802996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jHuGlL5R3MTUqhKVJWXwg3GRATWUy5vD8KevAIYucsXoOffWvfPOqNqpeMnFylK6N/fFs3DEtqkwCgMm/V/peA==" saltValue="NIq5i6Mk/FcKK09zP4oaV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177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178</v>
      </c>
      <c r="C8" s="99"/>
      <c r="D8" s="99"/>
      <c r="E8" s="99"/>
      <c r="F8" s="99"/>
      <c r="G8" s="99"/>
      <c r="H8" s="100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7" t="s">
        <v>284</v>
      </c>
      <c r="C10" s="49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8" t="s">
        <v>179</v>
      </c>
      <c r="C11" s="99"/>
      <c r="D11" s="100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coq6l/R+NvWFfLv5DnM7N66Vnyvh76C1r9Ic/eql9r/O4HZses0qzMI+UWi2HmkagGrwTGEMNSj67i16W9Phew==" saltValue="qLWKLC0O+2Hm4v9WdGJMM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135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7" t="s">
        <v>261</v>
      </c>
      <c r="C11" s="22">
        <v>0</v>
      </c>
      <c r="D11" s="14" t="s">
        <v>3</v>
      </c>
      <c r="E11" s="9">
        <v>5525</v>
      </c>
      <c r="F11" s="14" t="s">
        <v>3</v>
      </c>
      <c r="G11" s="1"/>
    </row>
    <row r="12" spans="1:7" x14ac:dyDescent="0.25">
      <c r="A12" s="1"/>
      <c r="B12" s="25" t="s">
        <v>262</v>
      </c>
      <c r="C12" s="22">
        <v>228898</v>
      </c>
      <c r="D12" s="14" t="s">
        <v>3</v>
      </c>
      <c r="E12" s="9">
        <v>31478</v>
      </c>
      <c r="F12" s="14" t="s">
        <v>3</v>
      </c>
      <c r="G12" s="1"/>
    </row>
    <row r="13" spans="1:7" x14ac:dyDescent="0.25">
      <c r="A13" s="1"/>
      <c r="B13" s="38" t="s">
        <v>163</v>
      </c>
      <c r="C13" s="12">
        <f>SUM(C10:C12)</f>
        <v>228898</v>
      </c>
      <c r="D13" s="13" t="s">
        <v>3</v>
      </c>
      <c r="E13" s="12">
        <f>SUM(E10:E12)</f>
        <v>37003</v>
      </c>
      <c r="F13" s="13" t="s">
        <v>3</v>
      </c>
      <c r="G13" s="1"/>
    </row>
    <row r="14" spans="1:7" x14ac:dyDescent="0.25">
      <c r="A14" s="1"/>
      <c r="B14" s="38" t="s">
        <v>222</v>
      </c>
      <c r="C14" s="12">
        <f>C13*(1+'Fane 14. Nøgletal'!C14)</f>
        <v>229653.36340000003</v>
      </c>
      <c r="D14" s="13" t="s">
        <v>3</v>
      </c>
      <c r="E14" s="12">
        <f>E13*(1+'Fane 14. Nøgletal'!C14)</f>
        <v>37125.109900000003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ELeImSY0kWzSjoxyIEbup8t7NiDTdTX0Tb4UeGfCUWKIYUqSjQRQcHxR62uqQcNizOOTUhMfb/IAzdaEskLG4Q==" saltValue="HZjiMn8Scsk49br+1zoOU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134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112</v>
      </c>
      <c r="C8" s="99"/>
      <c r="D8" s="99"/>
      <c r="E8" s="99"/>
      <c r="F8" s="100"/>
      <c r="G8" s="1"/>
    </row>
    <row r="9" spans="1:7" x14ac:dyDescent="0.2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25">
      <c r="A10" s="1"/>
      <c r="B10" s="25" t="s">
        <v>281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8" t="s">
        <v>113</v>
      </c>
      <c r="C16" s="99"/>
      <c r="D16" s="99"/>
      <c r="E16" s="99"/>
      <c r="F16" s="100"/>
      <c r="G16" s="1"/>
    </row>
    <row r="17" spans="1:7" x14ac:dyDescent="0.25">
      <c r="A17" s="1"/>
      <c r="B17" s="53" t="s">
        <v>18</v>
      </c>
      <c r="C17" s="53" t="s">
        <v>12</v>
      </c>
      <c r="D17" s="54"/>
      <c r="E17" s="53" t="s">
        <v>34</v>
      </c>
      <c r="F17" s="37"/>
      <c r="G17" s="1"/>
    </row>
    <row r="18" spans="1:7" x14ac:dyDescent="0.25">
      <c r="A18" s="1"/>
      <c r="B18" s="25" t="s">
        <v>281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8" t="s">
        <v>166</v>
      </c>
      <c r="C24" s="99"/>
      <c r="D24" s="99"/>
      <c r="E24" s="99"/>
      <c r="F24" s="100"/>
      <c r="G24" s="1"/>
    </row>
    <row r="25" spans="1:7" x14ac:dyDescent="0.25">
      <c r="A25" s="1"/>
      <c r="B25" s="53" t="s">
        <v>18</v>
      </c>
      <c r="C25" s="53" t="s">
        <v>12</v>
      </c>
      <c r="D25" s="54"/>
      <c r="E25" s="53" t="s">
        <v>34</v>
      </c>
      <c r="F25" s="37"/>
      <c r="G25" s="1"/>
    </row>
    <row r="26" spans="1:7" x14ac:dyDescent="0.25">
      <c r="A26" s="1"/>
      <c r="B26" s="25" t="s">
        <v>281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8" t="s">
        <v>224</v>
      </c>
      <c r="C32" s="99"/>
      <c r="D32" s="99"/>
      <c r="E32" s="99"/>
      <c r="F32" s="100"/>
      <c r="G32" s="1"/>
    </row>
    <row r="33" spans="1:7" x14ac:dyDescent="0.25">
      <c r="A33" s="1"/>
      <c r="B33" s="53" t="s">
        <v>18</v>
      </c>
      <c r="C33" s="53" t="s">
        <v>12</v>
      </c>
      <c r="D33" s="54"/>
      <c r="E33" s="53" t="s">
        <v>34</v>
      </c>
      <c r="F33" s="37"/>
      <c r="G33" s="1"/>
    </row>
    <row r="34" spans="1:7" x14ac:dyDescent="0.25">
      <c r="A34" s="1"/>
      <c r="B34" s="25" t="s">
        <v>281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J1WuEfUExvYzP/ozMDHwM7oKKcopxfLUEIQGmfLxpMeJ/ivdF3UZK3z4lMQrUEnQIWn2WJb7Zu1ViAOKSyQNHg==" saltValue="iVnLt2acQERuzAyRG90f2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136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91"/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103</v>
      </c>
      <c r="C8" s="99"/>
      <c r="D8" s="99"/>
      <c r="E8" s="99"/>
      <c r="F8" s="100"/>
      <c r="G8" s="1"/>
    </row>
    <row r="9" spans="1:7" x14ac:dyDescent="0.25">
      <c r="A9" s="1"/>
      <c r="B9" s="123" t="s">
        <v>226</v>
      </c>
      <c r="C9" s="124"/>
      <c r="D9" s="125"/>
      <c r="E9" s="9">
        <v>679160.80792193627</v>
      </c>
      <c r="F9" s="14" t="s">
        <v>3</v>
      </c>
      <c r="G9" s="1"/>
    </row>
    <row r="10" spans="1:7" x14ac:dyDescent="0.25">
      <c r="A10" s="1"/>
      <c r="B10" s="92" t="s">
        <v>10</v>
      </c>
      <c r="C10" s="93"/>
      <c r="D10" s="94"/>
      <c r="E10" s="9">
        <f>-E9*'Fane 5. Individuelt eff. krav'!G12</f>
        <v>-4266.7737987501787</v>
      </c>
      <c r="F10" s="14" t="s">
        <v>3</v>
      </c>
      <c r="G10" s="1"/>
    </row>
    <row r="11" spans="1:7" x14ac:dyDescent="0.25">
      <c r="A11" s="1"/>
      <c r="B11" s="92" t="s">
        <v>26</v>
      </c>
      <c r="C11" s="93"/>
      <c r="D11" s="94"/>
      <c r="E11" s="9">
        <f>-E9*'Fane 14. Nøgletal'!C29</f>
        <v>-13583.216158438725</v>
      </c>
      <c r="F11" s="14" t="s">
        <v>3</v>
      </c>
      <c r="G11" s="1"/>
    </row>
    <row r="12" spans="1:7" x14ac:dyDescent="0.25">
      <c r="A12" s="1"/>
      <c r="B12" s="98" t="s">
        <v>105</v>
      </c>
      <c r="C12" s="99"/>
      <c r="D12" s="100"/>
      <c r="E12" s="12">
        <f>SUM(E9:E11)*(1+'Fane 14. Nøgletal'!C14)^2</f>
        <v>665682.6710381225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8" t="s">
        <v>104</v>
      </c>
      <c r="C14" s="99"/>
      <c r="D14" s="99"/>
      <c r="E14" s="99"/>
      <c r="F14" s="100"/>
      <c r="G14" s="1"/>
    </row>
    <row r="15" spans="1:7" ht="15" customHeight="1" x14ac:dyDescent="0.25">
      <c r="A15" s="1"/>
      <c r="B15" s="123" t="s">
        <v>226</v>
      </c>
      <c r="C15" s="124"/>
      <c r="D15" s="125"/>
      <c r="E15" s="9">
        <v>679160.80792193627</v>
      </c>
      <c r="F15" s="14" t="s">
        <v>3</v>
      </c>
      <c r="G15" s="1"/>
    </row>
    <row r="16" spans="1:7" x14ac:dyDescent="0.25">
      <c r="A16" s="1"/>
      <c r="B16" s="92" t="s">
        <v>10</v>
      </c>
      <c r="C16" s="93"/>
      <c r="D16" s="94"/>
      <c r="E16" s="9">
        <f>-E15*'Fane 5. Individuelt eff. krav'!G12</f>
        <v>-4266.7737987501787</v>
      </c>
      <c r="F16" s="14" t="s">
        <v>3</v>
      </c>
      <c r="G16" s="1"/>
    </row>
    <row r="17" spans="1:7" x14ac:dyDescent="0.25">
      <c r="A17" s="1"/>
      <c r="B17" s="92" t="s">
        <v>26</v>
      </c>
      <c r="C17" s="93"/>
      <c r="D17" s="94"/>
      <c r="E17" s="9">
        <f>-E15*'Fane 14. Nøgletal'!C29</f>
        <v>-13583.216158438725</v>
      </c>
      <c r="F17" s="14" t="s">
        <v>3</v>
      </c>
      <c r="G17" s="1"/>
    </row>
    <row r="18" spans="1:7" x14ac:dyDescent="0.25">
      <c r="A18" s="1"/>
      <c r="B18" s="98" t="s">
        <v>106</v>
      </c>
      <c r="C18" s="99"/>
      <c r="D18" s="100"/>
      <c r="E18" s="12">
        <f>SUM(E15:E17)*(1+'Fane 14. Nøgletal'!C14)^3</f>
        <v>667879.42385254835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8" t="s">
        <v>155</v>
      </c>
      <c r="C20" s="99"/>
      <c r="D20" s="99"/>
      <c r="E20" s="99"/>
      <c r="F20" s="100"/>
      <c r="G20" s="1"/>
    </row>
    <row r="21" spans="1:7" ht="15" customHeight="1" x14ac:dyDescent="0.25">
      <c r="A21" s="1"/>
      <c r="B21" s="123" t="s">
        <v>226</v>
      </c>
      <c r="C21" s="124"/>
      <c r="D21" s="125"/>
      <c r="E21" s="9">
        <v>679160.80792193627</v>
      </c>
      <c r="F21" s="14" t="s">
        <v>3</v>
      </c>
      <c r="G21" s="1"/>
    </row>
    <row r="22" spans="1:7" x14ac:dyDescent="0.25">
      <c r="A22" s="1"/>
      <c r="B22" s="92" t="s">
        <v>10</v>
      </c>
      <c r="C22" s="93"/>
      <c r="D22" s="94"/>
      <c r="E22" s="9">
        <f>-E21*'Fane 5. Individuelt eff. krav'!G12</f>
        <v>-4266.7737987501787</v>
      </c>
      <c r="F22" s="14" t="s">
        <v>3</v>
      </c>
      <c r="G22" s="1"/>
    </row>
    <row r="23" spans="1:7" x14ac:dyDescent="0.25">
      <c r="A23" s="1"/>
      <c r="B23" s="92" t="s">
        <v>26</v>
      </c>
      <c r="C23" s="93"/>
      <c r="D23" s="94"/>
      <c r="E23" s="9">
        <f>-E21*'Fane 14. Nøgletal'!C29</f>
        <v>-13583.216158438725</v>
      </c>
      <c r="F23" s="14" t="s">
        <v>3</v>
      </c>
      <c r="G23" s="1"/>
    </row>
    <row r="24" spans="1:7" x14ac:dyDescent="0.25">
      <c r="A24" s="1"/>
      <c r="B24" s="98" t="s">
        <v>156</v>
      </c>
      <c r="C24" s="99"/>
      <c r="D24" s="100"/>
      <c r="E24" s="12">
        <f>SUM(E21:E23)*(1+'Fane 14. Nøgletal'!C14)^4</f>
        <v>670083.42595126189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8" t="s">
        <v>227</v>
      </c>
      <c r="C26" s="99"/>
      <c r="D26" s="99"/>
      <c r="E26" s="99"/>
      <c r="F26" s="100"/>
      <c r="G26" s="1"/>
    </row>
    <row r="27" spans="1:7" ht="15" customHeight="1" x14ac:dyDescent="0.25">
      <c r="A27" s="1"/>
      <c r="B27" s="123" t="s">
        <v>226</v>
      </c>
      <c r="C27" s="124"/>
      <c r="D27" s="125"/>
      <c r="E27" s="9">
        <v>679160.80792193627</v>
      </c>
      <c r="F27" s="14" t="s">
        <v>3</v>
      </c>
      <c r="G27" s="1"/>
    </row>
    <row r="28" spans="1:7" x14ac:dyDescent="0.25">
      <c r="A28" s="1"/>
      <c r="B28" s="92" t="s">
        <v>10</v>
      </c>
      <c r="C28" s="93"/>
      <c r="D28" s="94"/>
      <c r="E28" s="9">
        <f>-E27*'Fane 5. Individuelt eff. krav'!G12</f>
        <v>-4266.7737987501787</v>
      </c>
      <c r="F28" s="14" t="s">
        <v>3</v>
      </c>
      <c r="G28" s="1"/>
    </row>
    <row r="29" spans="1:7" x14ac:dyDescent="0.25">
      <c r="A29" s="1"/>
      <c r="B29" s="92" t="s">
        <v>26</v>
      </c>
      <c r="C29" s="93"/>
      <c r="D29" s="94"/>
      <c r="E29" s="9">
        <f>-E27*'Fane 14. Nøgletal'!C29</f>
        <v>-13583.216158438725</v>
      </c>
      <c r="F29" s="14" t="s">
        <v>3</v>
      </c>
      <c r="G29" s="1"/>
    </row>
    <row r="30" spans="1:7" x14ac:dyDescent="0.25">
      <c r="A30" s="1"/>
      <c r="B30" s="98" t="s">
        <v>228</v>
      </c>
      <c r="C30" s="99"/>
      <c r="D30" s="100"/>
      <c r="E30" s="12">
        <f>SUM(E27:E29)*(1+'Fane 14. Nøgletal'!C14)^5</f>
        <v>672294.70125690103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C41zXdB+UmL9WjlKHdvsfu5a1uq79tiDVA2WpA5ahOHVBrQuO2u0XRvIBPQGLdAh73WaN4vif5iIEkzxSvXK5Q==" saltValue="bz4u1J45HVTID/LwDPtPcQ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157</v>
      </c>
      <c r="C3" s="91"/>
      <c r="D3" s="91"/>
      <c r="E3" s="91"/>
      <c r="F3" s="91"/>
      <c r="G3" s="1"/>
    </row>
    <row r="4" spans="1:7" ht="25.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158</v>
      </c>
      <c r="C8" s="99"/>
      <c r="D8" s="99"/>
      <c r="E8" s="99"/>
      <c r="F8" s="100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j2muBx4qYwYo41GEmCCkNCKdqSXTxfKW4Ty8X0QgCQk8VILbh6DnAfV1LaFnzQ5sOycXC3gYyBF7gI0TxUxsyQ==" saltValue="D8PriC/CRxJRTzMCLwwK3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133</v>
      </c>
      <c r="C3" s="91"/>
      <c r="D3" s="91"/>
      <c r="E3" s="91"/>
      <c r="F3" s="91"/>
      <c r="G3" s="1"/>
    </row>
    <row r="4" spans="1:7" ht="25.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107</v>
      </c>
      <c r="C8" s="99"/>
      <c r="D8" s="99"/>
      <c r="E8" s="99"/>
      <c r="F8" s="100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8" t="s">
        <v>108</v>
      </c>
      <c r="C14" s="99"/>
      <c r="D14" s="99"/>
      <c r="E14" s="99"/>
      <c r="F14" s="100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268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8" t="s">
        <v>169</v>
      </c>
      <c r="C20" s="99"/>
      <c r="D20" s="99"/>
      <c r="E20" s="99"/>
      <c r="F20" s="100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268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8" t="s">
        <v>231</v>
      </c>
      <c r="C26" s="99"/>
      <c r="D26" s="99"/>
      <c r="E26" s="99"/>
      <c r="F26" s="100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268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XHWk4hUCn2ZKlGWW0lS9vm9qrvhpVTl6nFNuNzLBQ8CAuCZ1D9BOn6ypJpj/y53eWC0okwzSsbUk0pnPkTd2vg==" saltValue="yxdjwBgyOkA8nbTWixsEp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1" t="s">
        <v>189</v>
      </c>
      <c r="C3" s="91"/>
      <c r="D3" s="1"/>
    </row>
    <row r="4" spans="1:4" ht="25.5" customHeight="1" x14ac:dyDescent="0.25">
      <c r="A4" s="1"/>
      <c r="B4" s="91"/>
      <c r="C4" s="9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4" t="s">
        <v>137</v>
      </c>
      <c r="C9" s="26">
        <v>1.2699999999999999E-2</v>
      </c>
      <c r="D9" s="1"/>
    </row>
    <row r="10" spans="1:4" x14ac:dyDescent="0.25">
      <c r="A10" s="1"/>
      <c r="B10" s="64" t="s">
        <v>138</v>
      </c>
      <c r="C10" s="26">
        <v>1.7500000000000002E-2</v>
      </c>
      <c r="D10" s="1"/>
    </row>
    <row r="11" spans="1:4" x14ac:dyDescent="0.25">
      <c r="A11" s="1"/>
      <c r="B11" s="64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4" t="s">
        <v>253</v>
      </c>
      <c r="C14" s="50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4" t="s">
        <v>139</v>
      </c>
      <c r="C19" s="23">
        <v>9.1000000000000004E-3</v>
      </c>
      <c r="D19" s="1"/>
    </row>
    <row r="20" spans="1:4" x14ac:dyDescent="0.25">
      <c r="A20" s="1"/>
      <c r="B20" s="64" t="s">
        <v>190</v>
      </c>
      <c r="C20" s="23">
        <v>1.77E-2</v>
      </c>
      <c r="D20" s="1"/>
    </row>
    <row r="21" spans="1:4" x14ac:dyDescent="0.25">
      <c r="A21" s="1"/>
      <c r="B21" s="64" t="s">
        <v>191</v>
      </c>
      <c r="C21" s="23">
        <v>8.6999999999999994E-3</v>
      </c>
      <c r="D21" s="1"/>
    </row>
    <row r="22" spans="1:4" x14ac:dyDescent="0.25">
      <c r="A22" s="1"/>
      <c r="B22" s="64" t="s">
        <v>140</v>
      </c>
      <c r="C22" s="41">
        <v>2.8400000000000002E-2</v>
      </c>
      <c r="D22" s="1"/>
    </row>
    <row r="23" spans="1:4" x14ac:dyDescent="0.25">
      <c r="A23" s="1"/>
      <c r="B23" s="64" t="s">
        <v>192</v>
      </c>
      <c r="C23" s="41">
        <v>2.75E-2</v>
      </c>
      <c r="D23" s="1"/>
    </row>
    <row r="24" spans="1:4" x14ac:dyDescent="0.25">
      <c r="A24" s="1"/>
      <c r="B24" s="64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4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3J1os4MO5MU9MXgibthXrhOlsraYrnrggbRr6D438XKqkhQoZqUjCz/zcdFHBCF6CJCB3+OvLCIhQgK6f4PxDQ==" saltValue="cdFaEsowZ5KVF0ywvTLd2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194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62982071.444226615</v>
      </c>
      <c r="D9" s="8" t="s">
        <v>3</v>
      </c>
      <c r="E9" s="1"/>
    </row>
    <row r="10" spans="1:5" ht="17.100000000000001" customHeight="1" x14ac:dyDescent="0.25">
      <c r="A10" s="1"/>
      <c r="B10" s="52" t="s">
        <v>43</v>
      </c>
      <c r="C10" s="7">
        <f>'Fane 10.1. Varige tillæg'!C14</f>
        <v>229653.36340000003</v>
      </c>
      <c r="D10" s="8" t="s">
        <v>3</v>
      </c>
      <c r="E10" s="1"/>
    </row>
    <row r="11" spans="1:5" ht="17.100000000000001" customHeight="1" x14ac:dyDescent="0.25">
      <c r="A11" s="1"/>
      <c r="B11" s="52" t="s">
        <v>44</v>
      </c>
      <c r="C11" s="9">
        <f>'Fane 10.1. Varige tillæg'!E14</f>
        <v>37125.109900000003</v>
      </c>
      <c r="D11" s="8" t="s">
        <v>3</v>
      </c>
      <c r="E11" s="1"/>
    </row>
    <row r="12" spans="1:5" ht="17.100000000000001" customHeight="1" x14ac:dyDescent="0.25">
      <c r="A12" s="1"/>
      <c r="B12" s="52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20</v>
      </c>
      <c r="C16" s="9">
        <f>SUM(C9:C15)*'Fane 14. Nøgletal'!C14</f>
        <v>208721.20472783782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krav'!G12</f>
        <v>-398667.1472183693</v>
      </c>
      <c r="D17" s="8" t="s">
        <v>3</v>
      </c>
      <c r="E17" s="1"/>
    </row>
    <row r="18" spans="1:5" ht="17.100000000000001" customHeight="1" x14ac:dyDescent="0.25">
      <c r="A18" s="1"/>
      <c r="B18" s="52" t="s">
        <v>26</v>
      </c>
      <c r="C18" s="9">
        <f>-'Fane 4.1. Gen. krav - drift'!G39</f>
        <v>-431279.42150848405</v>
      </c>
      <c r="D18" s="8" t="s">
        <v>3</v>
      </c>
      <c r="E18" s="1"/>
    </row>
    <row r="19" spans="1:5" ht="17.100000000000001" customHeight="1" x14ac:dyDescent="0.25">
      <c r="A19" s="1"/>
      <c r="B19" s="52" t="s">
        <v>27</v>
      </c>
      <c r="C19" s="9">
        <f>-'Fane 4.2. Gen. krav - anlæg'!G37</f>
        <v>-647130.71119753551</v>
      </c>
      <c r="D19" s="8" t="s">
        <v>3</v>
      </c>
      <c r="E19" s="1"/>
    </row>
    <row r="20" spans="1:5" ht="17.100000000000001" customHeight="1" x14ac:dyDescent="0.25">
      <c r="A20" s="1"/>
      <c r="B20" s="58" t="s">
        <v>22</v>
      </c>
      <c r="C20" s="10">
        <f>SUM(C9:C19)</f>
        <v>61980493.842330061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4432672.4573792908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8" t="s">
        <v>94</v>
      </c>
      <c r="C24" s="10">
        <f>'Fane 11. Periodevise driftsomk.'!E12</f>
        <v>665682.6710381225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2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8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286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986586.11480802996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5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68065435.085555509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Kq6l8hm9aglVWcrRZ4xuJeJORx0EVrpykmd4r9NMX3mhF56omUK2i9n3j0cHg8ckzNqVjufnBic4WROWvExITw==" saltValue="ehUQFGYDdk1p9aIfhNaSk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196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61980493.842330061</v>
      </c>
      <c r="D9" s="8" t="s">
        <v>3</v>
      </c>
      <c r="E9" s="1"/>
    </row>
    <row r="10" spans="1:5" ht="15" customHeight="1" x14ac:dyDescent="0.25">
      <c r="A10" s="1"/>
      <c r="B10" s="52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204535.62967968921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-390672.5054372928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drift'!G46</f>
        <v>-424048.59072747285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-639657.10215482907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60730651.273690157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Nøgletal'!C14)+'Fane 6. Ikke-påvirkelige omk.'!C20+'Fane 6. Ikke-påvirkelige omk.'!C28</f>
        <v>4447300.2764886431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driftsomk.'!E18</f>
        <v>667879.42385254835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286</v>
      </c>
      <c r="C26" s="10">
        <f>'Fane 7. Kontrol af ØR2020'!E34</f>
        <v>0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5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65845830.974031344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52tvukOb/ItK2Fz1oaS8JMzgkyf+2/BCPGsxpr0Epu7n+VVrODDwGZydAjknMqQIgaXG0/+jd/sHok3VdosmKw==" saltValue="44EVGhLjDNYCKK0pJMOGx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197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51"/>
      <c r="C6" s="51"/>
      <c r="D6" s="5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60730651.273690157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200411.14920317751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-382794.55711156875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drift'!G54</f>
        <v>-416938.99205533601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-632269.80462717928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59499059.069099247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Nøgletal'!C14)^2+'Fane 6. Ikke-påvirkelige omk.'!C21+'Fane 6. Ikke-påvirkelige omk.'!C29</f>
        <v>4461976.367401056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driftsomk.'!E24</f>
        <v>670083.42595126189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64631118.862451568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8srd+0Ulqclha4A+SfTVdkiziBNCeWxlyr5OZmTkaTJ/PbqQK0MXwJXIVDhWUbnTCecPls9jK0djEIh3y53bVw==" saltValue="hgT/T9PYNtaLp5YoFgPJZ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198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51"/>
      <c r="C6" s="51"/>
      <c r="D6" s="5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59499059.069099247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196346.89492802753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-375031.64361383923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drift'!G60</f>
        <v>-409948.59291453625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-624967.82181670878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58285457.905682199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Nøgletal'!C14)^3+'Fane 6. Ikke-påvirkelige omk.'!C22+'Fane 6. Ikke-påvirkelige omk.'!C30</f>
        <v>4476700.8894134797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driftsomk.'!E30</f>
        <v>672294.70125690103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63434453.496352583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ML+K55hz4rfMejugnYFKOsp9ZkZDmrziAyocQZYjADB6X3nORssFdSm1ersK36u/i206g+2Ta6zzLI8aAibLxg==" saltValue="KP8jdD4YN/QpicPVp5oJP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250</v>
      </c>
      <c r="C3" s="91"/>
      <c r="D3" s="91"/>
      <c r="E3" s="91"/>
      <c r="F3" s="91"/>
      <c r="G3" s="1"/>
    </row>
    <row r="4" spans="1:7" ht="29.2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280</v>
      </c>
      <c r="C8" s="32"/>
      <c r="D8" s="32"/>
      <c r="E8" s="32"/>
      <c r="F8" s="20"/>
      <c r="G8" s="1"/>
    </row>
    <row r="9" spans="1:7" ht="15" customHeight="1" x14ac:dyDescent="0.25">
      <c r="A9" s="1"/>
      <c r="B9" s="88" t="s">
        <v>25</v>
      </c>
      <c r="C9" s="89"/>
      <c r="D9" s="90"/>
      <c r="E9" s="7">
        <v>63857061.384450294</v>
      </c>
      <c r="F9" s="8" t="s">
        <v>3</v>
      </c>
      <c r="G9" s="1"/>
    </row>
    <row r="10" spans="1:7" ht="15" customHeight="1" x14ac:dyDescent="0.25">
      <c r="A10" s="1"/>
      <c r="B10" s="92" t="s">
        <v>43</v>
      </c>
      <c r="C10" s="93"/>
      <c r="D10" s="94"/>
      <c r="E10" s="7">
        <v>42782.657399999996</v>
      </c>
      <c r="F10" s="8" t="s">
        <v>3</v>
      </c>
      <c r="G10" s="1"/>
    </row>
    <row r="11" spans="1:7" ht="15" customHeight="1" x14ac:dyDescent="0.25">
      <c r="A11" s="1"/>
      <c r="B11" s="92" t="s">
        <v>44</v>
      </c>
      <c r="C11" s="93"/>
      <c r="D11" s="94"/>
      <c r="E11" s="9">
        <v>59160.053399999997</v>
      </c>
      <c r="F11" s="8" t="s">
        <v>3</v>
      </c>
      <c r="G11" s="1"/>
    </row>
    <row r="12" spans="1:7" ht="15" customHeight="1" x14ac:dyDescent="0.25">
      <c r="A12" s="1"/>
      <c r="B12" s="92" t="s">
        <v>29</v>
      </c>
      <c r="C12" s="93"/>
      <c r="D12" s="94"/>
      <c r="E12" s="9">
        <v>0</v>
      </c>
      <c r="F12" s="8" t="s">
        <v>3</v>
      </c>
      <c r="G12" s="1"/>
    </row>
    <row r="13" spans="1:7" ht="15" customHeight="1" x14ac:dyDescent="0.25">
      <c r="A13" s="1"/>
      <c r="B13" s="88" t="s">
        <v>28</v>
      </c>
      <c r="C13" s="89"/>
      <c r="D13" s="90"/>
      <c r="E13" s="9">
        <v>0</v>
      </c>
      <c r="F13" s="8" t="s">
        <v>3</v>
      </c>
      <c r="G13" s="1"/>
    </row>
    <row r="14" spans="1:7" ht="15" customHeight="1" x14ac:dyDescent="0.25">
      <c r="A14" s="1"/>
      <c r="B14" s="88" t="s">
        <v>31</v>
      </c>
      <c r="C14" s="89"/>
      <c r="D14" s="90"/>
      <c r="E14" s="9">
        <v>0</v>
      </c>
      <c r="F14" s="8" t="s">
        <v>3</v>
      </c>
      <c r="G14" s="1"/>
    </row>
    <row r="15" spans="1:7" ht="15" customHeight="1" x14ac:dyDescent="0.25">
      <c r="A15" s="1"/>
      <c r="B15" s="88" t="s">
        <v>30</v>
      </c>
      <c r="C15" s="89"/>
      <c r="D15" s="90"/>
      <c r="E15" s="9">
        <v>0</v>
      </c>
      <c r="F15" s="8" t="s">
        <v>3</v>
      </c>
      <c r="G15" s="1"/>
    </row>
    <row r="16" spans="1:7" ht="15" customHeight="1" x14ac:dyDescent="0.25">
      <c r="A16" s="1"/>
      <c r="B16" s="88" t="s">
        <v>20</v>
      </c>
      <c r="C16" s="89"/>
      <c r="D16" s="90"/>
      <c r="E16" s="9">
        <v>1259227.8103454306</v>
      </c>
      <c r="F16" s="8" t="s">
        <v>3</v>
      </c>
      <c r="G16" s="1"/>
    </row>
    <row r="17" spans="1:7" ht="15" customHeight="1" x14ac:dyDescent="0.25">
      <c r="A17" s="1"/>
      <c r="B17" s="88" t="s">
        <v>10</v>
      </c>
      <c r="C17" s="89"/>
      <c r="D17" s="90"/>
      <c r="E17" s="9">
        <v>-529469.08039190446</v>
      </c>
      <c r="F17" s="8" t="s">
        <v>3</v>
      </c>
      <c r="G17" s="1"/>
    </row>
    <row r="18" spans="1:7" ht="15" customHeight="1" x14ac:dyDescent="0.25">
      <c r="A18" s="1"/>
      <c r="B18" s="88" t="s">
        <v>26</v>
      </c>
      <c r="C18" s="89"/>
      <c r="D18" s="90"/>
      <c r="E18" s="9">
        <f>-'Fane 4.1. Gen. krav - drift'!G33</f>
        <v>-433946.74830050598</v>
      </c>
      <c r="F18" s="8" t="s">
        <v>3</v>
      </c>
      <c r="G18" s="1"/>
    </row>
    <row r="19" spans="1:7" ht="15" customHeight="1" x14ac:dyDescent="0.25">
      <c r="A19" s="1"/>
      <c r="B19" s="88" t="s">
        <v>27</v>
      </c>
      <c r="C19" s="89"/>
      <c r="D19" s="90"/>
      <c r="E19" s="9">
        <f>-'Fane 4.2. Gen. krav - anlæg'!G31</f>
        <v>-1272744.6326766952</v>
      </c>
      <c r="F19" s="8" t="s">
        <v>3</v>
      </c>
      <c r="G19" s="1"/>
    </row>
    <row r="20" spans="1:7" ht="15" customHeight="1" x14ac:dyDescent="0.25">
      <c r="A20" s="1"/>
      <c r="B20" s="58" t="s">
        <v>22</v>
      </c>
      <c r="C20" s="59"/>
      <c r="D20" s="66"/>
      <c r="E20" s="10">
        <f>SUM(E9:E19)</f>
        <v>62982071.444226615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5" t="s">
        <v>13</v>
      </c>
      <c r="C22" s="96"/>
      <c r="D22" s="97"/>
      <c r="E22" s="10">
        <v>4892918.4287600396</v>
      </c>
      <c r="F22" s="11" t="s">
        <v>3</v>
      </c>
      <c r="G22" s="1"/>
    </row>
    <row r="23" spans="1:7" ht="15" customHeight="1" x14ac:dyDescent="0.25">
      <c r="A23" s="1"/>
      <c r="B23" s="98" t="s">
        <v>94</v>
      </c>
      <c r="C23" s="99"/>
      <c r="D23" s="100"/>
      <c r="E23" s="32"/>
      <c r="F23" s="32"/>
      <c r="G23" s="1"/>
    </row>
    <row r="24" spans="1:7" ht="15" customHeight="1" x14ac:dyDescent="0.25">
      <c r="A24" s="1"/>
      <c r="B24" s="58" t="s">
        <v>94</v>
      </c>
      <c r="C24" s="43"/>
      <c r="D24" s="44"/>
      <c r="E24" s="10">
        <v>823573.47069067694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92" t="s">
        <v>89</v>
      </c>
      <c r="C26" s="93"/>
      <c r="D26" s="94"/>
      <c r="E26" s="9">
        <v>0</v>
      </c>
      <c r="F26" s="8" t="s">
        <v>3</v>
      </c>
      <c r="G26" s="1"/>
    </row>
    <row r="27" spans="1:7" ht="15" customHeight="1" x14ac:dyDescent="0.25">
      <c r="A27" s="1"/>
      <c r="B27" s="92" t="s">
        <v>90</v>
      </c>
      <c r="C27" s="93"/>
      <c r="D27" s="93"/>
      <c r="E27" s="9">
        <v>0</v>
      </c>
      <c r="F27" s="8" t="s">
        <v>3</v>
      </c>
      <c r="G27" s="1"/>
    </row>
    <row r="28" spans="1:7" ht="15" customHeight="1" x14ac:dyDescent="0.25">
      <c r="A28" s="1"/>
      <c r="B28" s="101" t="s">
        <v>95</v>
      </c>
      <c r="C28" s="102"/>
      <c r="D28" s="102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5" t="s">
        <v>185</v>
      </c>
      <c r="C30" s="96"/>
      <c r="D30" s="96"/>
      <c r="E30" s="45">
        <v>0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5" t="s">
        <v>148</v>
      </c>
      <c r="C32" s="96"/>
      <c r="D32" s="97"/>
      <c r="E32" s="10">
        <v>-5307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68693256.343677327</v>
      </c>
      <c r="F33" s="13" t="s">
        <v>3</v>
      </c>
      <c r="G33" s="1"/>
    </row>
    <row r="34" spans="1:7" ht="27" customHeight="1" x14ac:dyDescent="0.25">
      <c r="A34" s="1"/>
      <c r="B34" s="88" t="s">
        <v>252</v>
      </c>
      <c r="C34" s="89"/>
      <c r="D34" s="89"/>
      <c r="E34" s="89"/>
      <c r="F34" s="90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EBSeal0kwl5cbE0OmrrQITGLy/iILpUV26QoMwaalpT0mkJB4iR0N9sStdjSeHLwlWRC0oI2TM/AptH0COLXNA==" saltValue="wISuJU97gSl3RvYNAoRLHg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1" t="s">
        <v>130</v>
      </c>
      <c r="C1" s="91"/>
      <c r="D1" s="91"/>
      <c r="E1" s="91"/>
      <c r="F1" s="91"/>
      <c r="G1" s="91"/>
      <c r="H1" s="91"/>
      <c r="I1" s="1"/>
    </row>
    <row r="2" spans="1:9" ht="28.5" customHeight="1" x14ac:dyDescent="0.25">
      <c r="A2" s="1"/>
      <c r="B2" s="91"/>
      <c r="C2" s="91"/>
      <c r="D2" s="91"/>
      <c r="E2" s="91"/>
      <c r="F2" s="91"/>
      <c r="G2" s="91"/>
      <c r="H2" s="91"/>
      <c r="I2" s="1"/>
    </row>
    <row r="3" spans="1:9" ht="14.25" customHeight="1" x14ac:dyDescent="0.25">
      <c r="A3" s="1"/>
      <c r="B3" s="42"/>
      <c r="C3" s="42"/>
      <c r="D3" s="42"/>
      <c r="E3" s="42"/>
      <c r="F3" s="42"/>
      <c r="G3" s="42"/>
      <c r="H3" s="42"/>
      <c r="I3" s="1"/>
    </row>
    <row r="4" spans="1:9" x14ac:dyDescent="0.25">
      <c r="A4" s="1"/>
      <c r="B4" s="98" t="s">
        <v>56</v>
      </c>
      <c r="C4" s="99"/>
      <c r="D4" s="99"/>
      <c r="E4" s="99"/>
      <c r="F4" s="99"/>
      <c r="G4" s="99"/>
      <c r="H4" s="100"/>
      <c r="I4" s="1"/>
    </row>
    <row r="5" spans="1:9" x14ac:dyDescent="0.25">
      <c r="A5" s="1"/>
      <c r="B5" s="103" t="s">
        <v>45</v>
      </c>
      <c r="C5" s="104"/>
      <c r="D5" s="104"/>
      <c r="E5" s="104"/>
      <c r="F5" s="105"/>
      <c r="G5" s="24">
        <v>21727577.420105297</v>
      </c>
      <c r="H5" s="14" t="s">
        <v>3</v>
      </c>
      <c r="I5" s="1"/>
    </row>
    <row r="6" spans="1:9" x14ac:dyDescent="0.25">
      <c r="A6" s="1"/>
      <c r="B6" s="88" t="s">
        <v>145</v>
      </c>
      <c r="C6" s="89"/>
      <c r="D6" s="89"/>
      <c r="E6" s="89"/>
      <c r="F6" s="90"/>
      <c r="G6" s="24">
        <v>4875127.1650594948</v>
      </c>
      <c r="H6" s="14" t="s">
        <v>3</v>
      </c>
      <c r="I6" s="1"/>
    </row>
    <row r="7" spans="1:9" x14ac:dyDescent="0.25">
      <c r="A7" s="1"/>
      <c r="B7" s="103" t="s">
        <v>46</v>
      </c>
      <c r="C7" s="104"/>
      <c r="D7" s="104"/>
      <c r="E7" s="104"/>
      <c r="F7" s="105"/>
      <c r="G7" s="24">
        <f>SUM(G5:G6)*'Fane 14. Nøgletal'!C29</f>
        <v>532054.09170329582</v>
      </c>
      <c r="H7" s="14" t="s">
        <v>3</v>
      </c>
      <c r="I7" s="1"/>
    </row>
    <row r="8" spans="1:9" x14ac:dyDescent="0.25">
      <c r="A8" s="1"/>
      <c r="B8" s="38"/>
      <c r="C8" s="32"/>
      <c r="D8" s="32"/>
      <c r="E8" s="32"/>
      <c r="F8" s="32"/>
      <c r="G8" s="32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8" t="s">
        <v>57</v>
      </c>
      <c r="C10" s="99"/>
      <c r="D10" s="99"/>
      <c r="E10" s="99"/>
      <c r="F10" s="99"/>
      <c r="G10" s="99"/>
      <c r="H10" s="100"/>
      <c r="I10" s="1"/>
    </row>
    <row r="11" spans="1:9" x14ac:dyDescent="0.25">
      <c r="A11" s="1"/>
      <c r="B11" s="103" t="s">
        <v>47</v>
      </c>
      <c r="C11" s="104"/>
      <c r="D11" s="104"/>
      <c r="E11" s="104"/>
      <c r="F11" s="105"/>
      <c r="G11" s="24">
        <f>(G5-G7)*(1+'Fane 14. Nøgletal'!C10)</f>
        <v>21566444.986649036</v>
      </c>
      <c r="H11" s="14" t="s">
        <v>3</v>
      </c>
      <c r="I11" s="1"/>
    </row>
    <row r="12" spans="1:9" ht="15" customHeight="1" x14ac:dyDescent="0.25">
      <c r="A12" s="1"/>
      <c r="B12" s="103" t="s">
        <v>146</v>
      </c>
      <c r="C12" s="104"/>
      <c r="D12" s="104"/>
      <c r="E12" s="104"/>
      <c r="F12" s="105"/>
      <c r="G12" s="24">
        <v>2.8428621590137484E-9</v>
      </c>
      <c r="H12" s="14" t="s">
        <v>3</v>
      </c>
      <c r="I12" s="1"/>
    </row>
    <row r="13" spans="1:9" x14ac:dyDescent="0.25">
      <c r="A13" s="1"/>
      <c r="B13" s="88" t="s">
        <v>143</v>
      </c>
      <c r="C13" s="89"/>
      <c r="D13" s="89"/>
      <c r="E13" s="89"/>
      <c r="F13" s="90"/>
      <c r="G13" s="24">
        <v>1931623.0175000001</v>
      </c>
      <c r="H13" s="14" t="s">
        <v>3</v>
      </c>
      <c r="I13" s="1"/>
    </row>
    <row r="14" spans="1:9" x14ac:dyDescent="0.25">
      <c r="A14" s="1"/>
      <c r="B14" s="109" t="s">
        <v>48</v>
      </c>
      <c r="C14" s="110"/>
      <c r="D14" s="110"/>
      <c r="E14" s="110"/>
      <c r="F14" s="111"/>
      <c r="G14" s="9">
        <v>0</v>
      </c>
      <c r="H14" s="14" t="s">
        <v>3</v>
      </c>
      <c r="I14" s="1"/>
    </row>
    <row r="15" spans="1:9" x14ac:dyDescent="0.25">
      <c r="A15" s="1"/>
      <c r="B15" s="103" t="s">
        <v>49</v>
      </c>
      <c r="C15" s="104"/>
      <c r="D15" s="104"/>
      <c r="E15" s="104"/>
      <c r="F15" s="105"/>
      <c r="G15" s="24">
        <f>SUM(G11:G14)*'Fane 14. Nøgletal'!C29</f>
        <v>469961.36008298083</v>
      </c>
      <c r="H15" s="14" t="s">
        <v>3</v>
      </c>
      <c r="I15" s="1"/>
    </row>
    <row r="16" spans="1:9" x14ac:dyDescent="0.25">
      <c r="A16" s="1"/>
      <c r="B16" s="38"/>
      <c r="C16" s="32"/>
      <c r="D16" s="32"/>
      <c r="E16" s="32"/>
      <c r="F16" s="32"/>
      <c r="G16" s="32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98" t="s">
        <v>58</v>
      </c>
      <c r="C18" s="99"/>
      <c r="D18" s="99"/>
      <c r="E18" s="99"/>
      <c r="F18" s="99"/>
      <c r="G18" s="99"/>
      <c r="H18" s="100"/>
      <c r="I18" s="1"/>
    </row>
    <row r="19" spans="1:9" x14ac:dyDescent="0.25">
      <c r="A19" s="1"/>
      <c r="B19" s="103" t="s">
        <v>50</v>
      </c>
      <c r="C19" s="104"/>
      <c r="D19" s="104"/>
      <c r="E19" s="104"/>
      <c r="F19" s="105"/>
      <c r="G19" s="24">
        <f>(SUM(G11:G12,G14)-(G15))*(1+'Fane 14. Nøgletal'!C10)</f>
        <v>21465672.090030968</v>
      </c>
      <c r="H19" s="14" t="s">
        <v>3</v>
      </c>
      <c r="I19" s="1"/>
    </row>
    <row r="20" spans="1:9" x14ac:dyDescent="0.25">
      <c r="A20" s="1"/>
      <c r="B20" s="109" t="s">
        <v>51</v>
      </c>
      <c r="C20" s="110"/>
      <c r="D20" s="110"/>
      <c r="E20" s="110"/>
      <c r="F20" s="111"/>
      <c r="G20" s="9">
        <v>0</v>
      </c>
      <c r="H20" s="14" t="s">
        <v>3</v>
      </c>
      <c r="I20" s="1"/>
    </row>
    <row r="21" spans="1:9" x14ac:dyDescent="0.25">
      <c r="A21" s="1"/>
      <c r="B21" s="103" t="s">
        <v>52</v>
      </c>
      <c r="C21" s="104"/>
      <c r="D21" s="104"/>
      <c r="E21" s="104"/>
      <c r="F21" s="105"/>
      <c r="G21" s="24">
        <f>SUM(G19:G20)*'Fane 14. Nøgletal'!C29</f>
        <v>429313.44180061936</v>
      </c>
      <c r="H21" s="14" t="s">
        <v>3</v>
      </c>
      <c r="I21" s="1"/>
    </row>
    <row r="22" spans="1:9" x14ac:dyDescent="0.25">
      <c r="A22" s="1"/>
      <c r="B22" s="38"/>
      <c r="C22" s="32"/>
      <c r="D22" s="32"/>
      <c r="E22" s="32"/>
      <c r="F22" s="32"/>
      <c r="G22" s="32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8" t="s">
        <v>59</v>
      </c>
      <c r="C24" s="99"/>
      <c r="D24" s="99"/>
      <c r="E24" s="99"/>
      <c r="F24" s="99"/>
      <c r="G24" s="99"/>
      <c r="H24" s="100"/>
      <c r="I24" s="1"/>
    </row>
    <row r="25" spans="1:9" x14ac:dyDescent="0.25">
      <c r="A25" s="1"/>
      <c r="B25" s="103" t="s">
        <v>53</v>
      </c>
      <c r="C25" s="104"/>
      <c r="D25" s="104"/>
      <c r="E25" s="104"/>
      <c r="F25" s="105"/>
      <c r="G25" s="24">
        <f>(G19+G20-G21)*(1+'Fane 14. Nøgletal'!C12)</f>
        <v>21450774.913600486</v>
      </c>
      <c r="H25" s="14" t="s">
        <v>3</v>
      </c>
      <c r="I25" s="1"/>
    </row>
    <row r="26" spans="1:9" x14ac:dyDescent="0.25">
      <c r="A26" s="1"/>
      <c r="B26" s="109" t="s">
        <v>54</v>
      </c>
      <c r="C26" s="110"/>
      <c r="D26" s="110"/>
      <c r="E26" s="110"/>
      <c r="F26" s="111"/>
      <c r="G26" s="24">
        <v>218296.23097887004</v>
      </c>
      <c r="H26" s="14" t="s">
        <v>3</v>
      </c>
      <c r="I26" s="1"/>
    </row>
    <row r="27" spans="1:9" x14ac:dyDescent="0.25">
      <c r="A27" s="1"/>
      <c r="B27" s="103" t="s">
        <v>55</v>
      </c>
      <c r="C27" s="104"/>
      <c r="D27" s="104"/>
      <c r="E27" s="104"/>
      <c r="F27" s="105"/>
      <c r="G27" s="24">
        <f>(G25+G26)*'Fane 14. Nøgletal'!C29</f>
        <v>433381.42289158708</v>
      </c>
      <c r="H27" s="14" t="s">
        <v>3</v>
      </c>
      <c r="I27" s="1"/>
    </row>
    <row r="28" spans="1:9" x14ac:dyDescent="0.25">
      <c r="A28" s="1"/>
      <c r="B28" s="38"/>
      <c r="C28" s="32"/>
      <c r="D28" s="32"/>
      <c r="E28" s="32"/>
      <c r="F28" s="32"/>
      <c r="G28" s="32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98" t="s">
        <v>62</v>
      </c>
      <c r="C30" s="99"/>
      <c r="D30" s="99"/>
      <c r="E30" s="99"/>
      <c r="F30" s="99"/>
      <c r="G30" s="99"/>
      <c r="H30" s="100"/>
      <c r="I30" s="1"/>
    </row>
    <row r="31" spans="1:9" x14ac:dyDescent="0.25">
      <c r="A31" s="1"/>
      <c r="B31" s="103" t="s">
        <v>63</v>
      </c>
      <c r="C31" s="104"/>
      <c r="D31" s="104"/>
      <c r="E31" s="104"/>
      <c r="F31" s="105"/>
      <c r="G31" s="24">
        <f>(G25+G26-G27)*(1+'Fane 14. Nøgletal'!C12)</f>
        <v>21654032.809205018</v>
      </c>
      <c r="H31" s="14" t="s">
        <v>3</v>
      </c>
      <c r="I31" s="1"/>
    </row>
    <row r="32" spans="1:9" x14ac:dyDescent="0.25">
      <c r="A32" s="1"/>
      <c r="B32" s="103" t="s">
        <v>171</v>
      </c>
      <c r="C32" s="104"/>
      <c r="D32" s="104"/>
      <c r="E32" s="104"/>
      <c r="F32" s="105"/>
      <c r="G32" s="24">
        <v>43304.605820279998</v>
      </c>
      <c r="H32" s="14" t="s">
        <v>3</v>
      </c>
      <c r="I32" s="1"/>
    </row>
    <row r="33" spans="1:9" x14ac:dyDescent="0.25">
      <c r="A33" s="1"/>
      <c r="B33" s="103" t="s">
        <v>64</v>
      </c>
      <c r="C33" s="104"/>
      <c r="D33" s="104"/>
      <c r="E33" s="104"/>
      <c r="F33" s="105"/>
      <c r="G33" s="24">
        <f>(G31+G32)*'Fane 14. Nøgletal'!C29</f>
        <v>433946.74830050598</v>
      </c>
      <c r="H33" s="14" t="s">
        <v>3</v>
      </c>
      <c r="I33" s="1"/>
    </row>
    <row r="34" spans="1:9" x14ac:dyDescent="0.25">
      <c r="A34" s="1"/>
      <c r="B34" s="38"/>
      <c r="C34" s="32"/>
      <c r="D34" s="32"/>
      <c r="E34" s="32"/>
      <c r="F34" s="32"/>
      <c r="G34" s="32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98" t="s">
        <v>232</v>
      </c>
      <c r="C36" s="99"/>
      <c r="D36" s="99"/>
      <c r="E36" s="99"/>
      <c r="F36" s="99"/>
      <c r="G36" s="99"/>
      <c r="H36" s="100"/>
      <c r="I36" s="1"/>
    </row>
    <row r="37" spans="1:9" x14ac:dyDescent="0.25">
      <c r="A37" s="1"/>
      <c r="B37" s="103" t="s">
        <v>84</v>
      </c>
      <c r="C37" s="104"/>
      <c r="D37" s="104"/>
      <c r="E37" s="104"/>
      <c r="F37" s="105"/>
      <c r="G37" s="24">
        <f>(G31+G32-G33)*(1+'Fane 14. Nøgletal'!C14)</f>
        <v>21333559.855924983</v>
      </c>
      <c r="H37" s="14" t="s">
        <v>3</v>
      </c>
      <c r="I37" s="1"/>
    </row>
    <row r="38" spans="1:9" x14ac:dyDescent="0.25">
      <c r="A38" s="1"/>
      <c r="B38" s="103" t="s">
        <v>236</v>
      </c>
      <c r="C38" s="104"/>
      <c r="D38" s="104"/>
      <c r="E38" s="104"/>
      <c r="F38" s="105"/>
      <c r="G38" s="24">
        <f>SUM('Fane 2.1. Økonomisk ramme 2022'!C10,'Fane 2.1. Økonomisk ramme 2022'!C12,'Fane 2.1. Økonomisk ramme 2022'!C14)*(1+'Fane 14. Nøgletal'!C14)</f>
        <v>230411.21949922005</v>
      </c>
      <c r="H38" s="14" t="s">
        <v>3</v>
      </c>
      <c r="I38" s="1"/>
    </row>
    <row r="39" spans="1:9" x14ac:dyDescent="0.25">
      <c r="A39" s="1"/>
      <c r="B39" s="103" t="s">
        <v>234</v>
      </c>
      <c r="C39" s="104"/>
      <c r="D39" s="104"/>
      <c r="E39" s="104"/>
      <c r="F39" s="105"/>
      <c r="G39" s="24">
        <f>(G37+G38)*'Fane 14. Nøgletal'!C29</f>
        <v>431279.42150848405</v>
      </c>
      <c r="H39" s="14" t="s">
        <v>3</v>
      </c>
      <c r="I39" s="1"/>
    </row>
    <row r="40" spans="1:9" x14ac:dyDescent="0.25">
      <c r="A40" s="1"/>
      <c r="B40" s="38"/>
      <c r="C40" s="32"/>
      <c r="D40" s="32"/>
      <c r="E40" s="32"/>
      <c r="F40" s="32"/>
      <c r="G40" s="32"/>
      <c r="H40" s="20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98" t="s">
        <v>233</v>
      </c>
      <c r="C42" s="99"/>
      <c r="D42" s="99"/>
      <c r="E42" s="99"/>
      <c r="F42" s="99"/>
      <c r="G42" s="99"/>
      <c r="H42" s="100"/>
      <c r="I42" s="1"/>
    </row>
    <row r="43" spans="1:9" x14ac:dyDescent="0.25">
      <c r="A43" s="1"/>
      <c r="B43" s="103" t="s">
        <v>83</v>
      </c>
      <c r="C43" s="104"/>
      <c r="D43" s="104"/>
      <c r="E43" s="104"/>
      <c r="F43" s="105"/>
      <c r="G43" s="24">
        <f>(G37+G38-G39)*(1+'Fane 14. Nøgletal'!C14)</f>
        <v>21202429.536373641</v>
      </c>
      <c r="H43" s="14" t="s">
        <v>3</v>
      </c>
      <c r="I43" s="1"/>
    </row>
    <row r="44" spans="1:9" x14ac:dyDescent="0.25">
      <c r="A44" s="1"/>
      <c r="B44" s="106" t="s">
        <v>237</v>
      </c>
      <c r="C44" s="107"/>
      <c r="D44" s="107"/>
      <c r="E44" s="107"/>
      <c r="F44" s="108"/>
      <c r="G44" s="24">
        <f>G38*(1+'Fane 14. Nøgletal'!C14)</f>
        <v>231171.57652356749</v>
      </c>
      <c r="H44" s="14" t="s">
        <v>3</v>
      </c>
      <c r="I44" s="1"/>
    </row>
    <row r="45" spans="1:9" x14ac:dyDescent="0.25">
      <c r="A45" s="1"/>
      <c r="B45" s="103" t="s">
        <v>97</v>
      </c>
      <c r="C45" s="104"/>
      <c r="D45" s="104"/>
      <c r="E45" s="104"/>
      <c r="F45" s="105"/>
      <c r="G45" s="9">
        <f>-'Fane 13. Bortfald'!C18*(1+'Fane 14. Nøgletal'!C14)</f>
        <v>0</v>
      </c>
      <c r="H45" s="14" t="s">
        <v>3</v>
      </c>
      <c r="I45" s="1"/>
    </row>
    <row r="46" spans="1:9" x14ac:dyDescent="0.25">
      <c r="A46" s="1"/>
      <c r="B46" s="103" t="s">
        <v>235</v>
      </c>
      <c r="C46" s="104"/>
      <c r="D46" s="104"/>
      <c r="E46" s="104"/>
      <c r="F46" s="105"/>
      <c r="G46" s="24">
        <f>(G43+G45)*'Fane 14. Nøgletal'!C29</f>
        <v>424048.59072747285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8" t="s">
        <v>172</v>
      </c>
      <c r="C51" s="99"/>
      <c r="D51" s="99"/>
      <c r="E51" s="99"/>
      <c r="F51" s="99"/>
      <c r="G51" s="99"/>
      <c r="H51" s="100"/>
      <c r="I51" s="1"/>
    </row>
    <row r="52" spans="1:9" x14ac:dyDescent="0.25">
      <c r="A52" s="1"/>
      <c r="B52" s="103" t="s">
        <v>173</v>
      </c>
      <c r="C52" s="104"/>
      <c r="D52" s="104"/>
      <c r="E52" s="104"/>
      <c r="F52" s="105"/>
      <c r="G52" s="24">
        <f>(G43+G45-G46)*(1+'Fane 14. Nøgletal'!C14)</f>
        <v>20846949.602766801</v>
      </c>
      <c r="H52" s="14" t="s">
        <v>3</v>
      </c>
      <c r="I52" s="1"/>
    </row>
    <row r="53" spans="1:9" x14ac:dyDescent="0.25">
      <c r="A53" s="1"/>
      <c r="B53" s="103" t="s">
        <v>174</v>
      </c>
      <c r="C53" s="104"/>
      <c r="D53" s="104"/>
      <c r="E53" s="104"/>
      <c r="F53" s="105"/>
      <c r="G53" s="9">
        <f>-'Fane 13. Bortfald'!C24*(1+'Fane 14. Nøgletal'!C14)</f>
        <v>0</v>
      </c>
      <c r="H53" s="14" t="s">
        <v>3</v>
      </c>
      <c r="I53" s="1"/>
    </row>
    <row r="54" spans="1:9" x14ac:dyDescent="0.25">
      <c r="A54" s="1"/>
      <c r="B54" s="103" t="s">
        <v>175</v>
      </c>
      <c r="C54" s="104"/>
      <c r="D54" s="104"/>
      <c r="E54" s="104"/>
      <c r="F54" s="105"/>
      <c r="G54" s="24">
        <f>(G52+G53)*'Fane 14. Nøgletal'!C29</f>
        <v>416938.99205533601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98" t="s">
        <v>201</v>
      </c>
      <c r="C57" s="99"/>
      <c r="D57" s="99"/>
      <c r="E57" s="99"/>
      <c r="F57" s="99"/>
      <c r="G57" s="99"/>
      <c r="H57" s="100"/>
      <c r="I57" s="1"/>
    </row>
    <row r="58" spans="1:9" x14ac:dyDescent="0.25">
      <c r="A58" s="1"/>
      <c r="B58" s="61" t="s">
        <v>202</v>
      </c>
      <c r="C58" s="62"/>
      <c r="D58" s="62"/>
      <c r="E58" s="62"/>
      <c r="F58" s="63"/>
      <c r="G58" s="24">
        <f>(G52+G53-G54)*(1+'Fane 14. Nøgletal'!C14)</f>
        <v>20497429.645726811</v>
      </c>
      <c r="H58" s="14" t="s">
        <v>3</v>
      </c>
      <c r="I58" s="1"/>
    </row>
    <row r="59" spans="1:9" x14ac:dyDescent="0.25">
      <c r="A59" s="1"/>
      <c r="B59" s="61" t="s">
        <v>203</v>
      </c>
      <c r="C59" s="62"/>
      <c r="D59" s="62"/>
      <c r="E59" s="62"/>
      <c r="F59" s="63"/>
      <c r="G59" s="9">
        <f>-'Fane 13. Bortfald'!C30*(1+'Fane 14. Nøgletal'!C14)</f>
        <v>0</v>
      </c>
      <c r="H59" s="14" t="s">
        <v>3</v>
      </c>
      <c r="I59" s="1"/>
    </row>
    <row r="60" spans="1:9" x14ac:dyDescent="0.25">
      <c r="A60" s="1"/>
      <c r="B60" s="61" t="s">
        <v>204</v>
      </c>
      <c r="C60" s="62"/>
      <c r="D60" s="62"/>
      <c r="E60" s="62"/>
      <c r="F60" s="63"/>
      <c r="G60" s="24">
        <f>(G58+G59)*'Fane 14. Nøgletal'!C29</f>
        <v>409948.59291453625</v>
      </c>
      <c r="H60" s="14" t="s">
        <v>3</v>
      </c>
      <c r="I60" s="1"/>
    </row>
    <row r="61" spans="1:9" x14ac:dyDescent="0.25">
      <c r="A61" s="1"/>
      <c r="B61" s="38"/>
      <c r="C61" s="32"/>
      <c r="D61" s="32"/>
      <c r="E61" s="32"/>
      <c r="F61" s="32"/>
      <c r="G61" s="32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4496jKoJlw8aL1cUBRqBnpMx0Yzx+Gl0shsb3WN2zaqsjfsRqHHO5jzSNBPdpriPPbLx78b8gflQEpwyBY85zg==" saltValue="Riogha+DdEDJtu5/m6nkpA==" spinCount="100000" sheet="1" objects="1" scenarios="1"/>
  <mergeCells count="37">
    <mergeCell ref="B57:H57"/>
    <mergeCell ref="B11:F11"/>
    <mergeCell ref="B10:H10"/>
    <mergeCell ref="B6:F6"/>
    <mergeCell ref="B1:H2"/>
    <mergeCell ref="B24:H24"/>
    <mergeCell ref="B4:H4"/>
    <mergeCell ref="B5:F5"/>
    <mergeCell ref="B7:F7"/>
    <mergeCell ref="B54:F54"/>
    <mergeCell ref="B12:F12"/>
    <mergeCell ref="B13:F13"/>
    <mergeCell ref="B30:H30"/>
    <mergeCell ref="B31:F31"/>
    <mergeCell ref="B36:H36"/>
    <mergeCell ref="B18:H18"/>
    <mergeCell ref="B14:F14"/>
    <mergeCell ref="B15:F15"/>
    <mergeCell ref="B19:F19"/>
    <mergeCell ref="B20:F20"/>
    <mergeCell ref="B21:F21"/>
    <mergeCell ref="B25:F25"/>
    <mergeCell ref="B26:F26"/>
    <mergeCell ref="B27:F27"/>
    <mergeCell ref="B37:F37"/>
    <mergeCell ref="B51:H51"/>
    <mergeCell ref="B52:F52"/>
    <mergeCell ref="B53:F53"/>
    <mergeCell ref="B32:F32"/>
    <mergeCell ref="B33:F33"/>
    <mergeCell ref="B42:H42"/>
    <mergeCell ref="B43:F43"/>
    <mergeCell ref="B46:F46"/>
    <mergeCell ref="B38:F38"/>
    <mergeCell ref="B45:F45"/>
    <mergeCell ref="B39:F39"/>
    <mergeCell ref="B44:F4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2" t="s">
        <v>131</v>
      </c>
      <c r="C1" s="112"/>
      <c r="D1" s="112"/>
      <c r="E1" s="112"/>
      <c r="F1" s="112"/>
      <c r="G1" s="112"/>
      <c r="H1" s="112"/>
      <c r="I1" s="1"/>
    </row>
    <row r="2" spans="1:9" ht="15" customHeight="1" x14ac:dyDescent="0.25">
      <c r="A2" s="1"/>
      <c r="B2" s="112"/>
      <c r="C2" s="112"/>
      <c r="D2" s="112"/>
      <c r="E2" s="112"/>
      <c r="F2" s="112"/>
      <c r="G2" s="112"/>
      <c r="H2" s="112"/>
      <c r="I2" s="1"/>
    </row>
    <row r="3" spans="1:9" ht="15" customHeight="1" x14ac:dyDescent="0.25">
      <c r="A3" s="1"/>
      <c r="B3" s="113"/>
      <c r="C3" s="113"/>
      <c r="D3" s="113"/>
      <c r="E3" s="113"/>
      <c r="F3" s="113"/>
      <c r="G3" s="113"/>
      <c r="H3" s="113"/>
      <c r="I3" s="1"/>
    </row>
    <row r="4" spans="1:9" x14ac:dyDescent="0.25">
      <c r="A4" s="1"/>
      <c r="B4" s="98" t="s">
        <v>60</v>
      </c>
      <c r="C4" s="99"/>
      <c r="D4" s="99"/>
      <c r="E4" s="99"/>
      <c r="F4" s="99"/>
      <c r="G4" s="99"/>
      <c r="H4" s="100"/>
      <c r="I4" s="1"/>
    </row>
    <row r="5" spans="1:9" x14ac:dyDescent="0.25">
      <c r="A5" s="1"/>
      <c r="B5" s="103" t="s">
        <v>65</v>
      </c>
      <c r="C5" s="104"/>
      <c r="D5" s="104"/>
      <c r="E5" s="104"/>
      <c r="F5" s="105"/>
      <c r="G5" s="24">
        <v>42813702.291597784</v>
      </c>
      <c r="H5" s="14" t="s">
        <v>3</v>
      </c>
      <c r="I5" s="1"/>
    </row>
    <row r="6" spans="1:9" x14ac:dyDescent="0.25">
      <c r="A6" s="1"/>
      <c r="B6" s="103" t="s">
        <v>61</v>
      </c>
      <c r="C6" s="104"/>
      <c r="D6" s="104"/>
      <c r="E6" s="104"/>
      <c r="F6" s="105"/>
      <c r="G6" s="24">
        <f>G5*'Fane 14. Nøgletal'!C19</f>
        <v>389604.69085353985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8" t="s">
        <v>66</v>
      </c>
      <c r="C9" s="99"/>
      <c r="D9" s="99"/>
      <c r="E9" s="99"/>
      <c r="F9" s="99"/>
      <c r="G9" s="99"/>
      <c r="H9" s="100"/>
      <c r="I9" s="1"/>
    </row>
    <row r="10" spans="1:9" x14ac:dyDescent="0.25">
      <c r="A10" s="1"/>
      <c r="B10" s="103" t="s">
        <v>67</v>
      </c>
      <c r="C10" s="104"/>
      <c r="D10" s="104"/>
      <c r="E10" s="104"/>
      <c r="F10" s="105"/>
      <c r="G10" s="24">
        <f>(G5-G6)*(1+'Fane 14. Nøgletal'!C10)</f>
        <v>43166519.308757275</v>
      </c>
      <c r="H10" s="14" t="s">
        <v>3</v>
      </c>
      <c r="I10" s="1"/>
    </row>
    <row r="11" spans="1:9" x14ac:dyDescent="0.25">
      <c r="A11" s="1"/>
      <c r="B11" s="103" t="s">
        <v>147</v>
      </c>
      <c r="C11" s="104"/>
      <c r="D11" s="104"/>
      <c r="E11" s="104"/>
      <c r="F11" s="105"/>
      <c r="G11" s="24">
        <v>1420932.8283779216</v>
      </c>
      <c r="H11" s="14" t="s">
        <v>3</v>
      </c>
      <c r="I11" s="1"/>
    </row>
    <row r="12" spans="1:9" x14ac:dyDescent="0.25">
      <c r="A12" s="1"/>
      <c r="B12" s="109" t="s">
        <v>68</v>
      </c>
      <c r="C12" s="110"/>
      <c r="D12" s="110"/>
      <c r="E12" s="110"/>
      <c r="F12" s="111"/>
      <c r="G12" s="9">
        <v>0</v>
      </c>
      <c r="H12" s="14" t="s">
        <v>3</v>
      </c>
      <c r="I12" s="1"/>
    </row>
    <row r="13" spans="1:9" x14ac:dyDescent="0.25">
      <c r="A13" s="1"/>
      <c r="B13" s="103" t="s">
        <v>69</v>
      </c>
      <c r="C13" s="104"/>
      <c r="D13" s="104"/>
      <c r="E13" s="104"/>
      <c r="F13" s="105"/>
      <c r="G13" s="24">
        <f>SUM(G10:G12)*'Fane 14. Nøgletal'!C20</f>
        <v>789197.90282729303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8" t="s">
        <v>70</v>
      </c>
      <c r="C16" s="99"/>
      <c r="D16" s="99"/>
      <c r="E16" s="99"/>
      <c r="F16" s="99"/>
      <c r="G16" s="99"/>
      <c r="H16" s="100"/>
      <c r="I16" s="1"/>
    </row>
    <row r="17" spans="1:9" x14ac:dyDescent="0.25">
      <c r="A17" s="1"/>
      <c r="B17" s="103" t="s">
        <v>71</v>
      </c>
      <c r="C17" s="104"/>
      <c r="D17" s="104"/>
      <c r="E17" s="104"/>
      <c r="F17" s="105"/>
      <c r="G17" s="24">
        <f>(SUM(G10:G12)-G13)*(1+'Fane 14. Nøgletal'!C10)</f>
        <v>44564723.683408298</v>
      </c>
      <c r="H17" s="14" t="s">
        <v>3</v>
      </c>
      <c r="I17" s="1"/>
    </row>
    <row r="18" spans="1:9" x14ac:dyDescent="0.25">
      <c r="A18" s="1"/>
      <c r="B18" s="109" t="s">
        <v>72</v>
      </c>
      <c r="C18" s="110"/>
      <c r="D18" s="110"/>
      <c r="E18" s="110"/>
      <c r="F18" s="111"/>
      <c r="G18" s="24">
        <v>147175.20035763996</v>
      </c>
      <c r="H18" s="14" t="s">
        <v>3</v>
      </c>
      <c r="I18" s="1"/>
    </row>
    <row r="19" spans="1:9" x14ac:dyDescent="0.25">
      <c r="A19" s="1"/>
      <c r="B19" s="103" t="s">
        <v>73</v>
      </c>
      <c r="C19" s="104"/>
      <c r="D19" s="104"/>
      <c r="E19" s="104"/>
      <c r="F19" s="105"/>
      <c r="G19" s="24">
        <f>G17*'Fane 14. Nøgletal'!C20+G18*'Fane 14. Nøgletal'!C21</f>
        <v>790076.03343943844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8" t="s">
        <v>74</v>
      </c>
      <c r="C22" s="99"/>
      <c r="D22" s="99"/>
      <c r="E22" s="99"/>
      <c r="F22" s="99"/>
      <c r="G22" s="99"/>
      <c r="H22" s="100"/>
      <c r="I22" s="1"/>
    </row>
    <row r="23" spans="1:9" x14ac:dyDescent="0.25">
      <c r="A23" s="1"/>
      <c r="B23" s="103" t="s">
        <v>75</v>
      </c>
      <c r="C23" s="104"/>
      <c r="D23" s="104"/>
      <c r="E23" s="104"/>
      <c r="F23" s="105"/>
      <c r="G23" s="24">
        <f>(G17+G18-G19)*(1+'Fane 14. Nøgletal'!C12)</f>
        <v>44787082.760477938</v>
      </c>
      <c r="H23" s="14" t="s">
        <v>3</v>
      </c>
      <c r="I23" s="1"/>
    </row>
    <row r="24" spans="1:9" x14ac:dyDescent="0.25">
      <c r="A24" s="1"/>
      <c r="B24" s="109" t="s">
        <v>76</v>
      </c>
      <c r="C24" s="110"/>
      <c r="D24" s="110"/>
      <c r="E24" s="110"/>
      <c r="F24" s="111"/>
      <c r="G24" s="24">
        <v>388184.43423573009</v>
      </c>
      <c r="H24" s="14" t="s">
        <v>3</v>
      </c>
      <c r="I24" s="1"/>
    </row>
    <row r="25" spans="1:9" x14ac:dyDescent="0.25">
      <c r="A25" s="1"/>
      <c r="B25" s="103" t="s">
        <v>77</v>
      </c>
      <c r="C25" s="104"/>
      <c r="D25" s="104"/>
      <c r="E25" s="104"/>
      <c r="F25" s="105"/>
      <c r="G25" s="24">
        <f>(G23+G24)*'Fane 14. Nøgletal'!C22</f>
        <v>1282977.5883298682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8" t="s">
        <v>78</v>
      </c>
      <c r="C28" s="99"/>
      <c r="D28" s="99"/>
      <c r="E28" s="99"/>
      <c r="F28" s="99"/>
      <c r="G28" s="99"/>
      <c r="H28" s="100"/>
      <c r="I28" s="1"/>
    </row>
    <row r="29" spans="1:9" x14ac:dyDescent="0.25">
      <c r="A29" s="1"/>
      <c r="B29" s="103" t="s">
        <v>79</v>
      </c>
      <c r="C29" s="104"/>
      <c r="D29" s="104"/>
      <c r="E29" s="104"/>
      <c r="F29" s="105"/>
      <c r="G29" s="24">
        <f>(G23+G24-G25)*(1+'Fane 14. Nøgletal'!C12)</f>
        <v>44756967.711629562</v>
      </c>
      <c r="H29" s="14" t="s">
        <v>3</v>
      </c>
      <c r="I29" s="1"/>
    </row>
    <row r="30" spans="1:9" x14ac:dyDescent="0.25">
      <c r="A30" s="1"/>
      <c r="B30" s="103" t="s">
        <v>176</v>
      </c>
      <c r="C30" s="104"/>
      <c r="D30" s="104"/>
      <c r="E30" s="104"/>
      <c r="F30" s="105"/>
      <c r="G30" s="24">
        <v>59881.806051479994</v>
      </c>
      <c r="H30" s="14" t="s">
        <v>3</v>
      </c>
      <c r="I30" s="1"/>
    </row>
    <row r="31" spans="1:9" x14ac:dyDescent="0.25">
      <c r="A31" s="1"/>
      <c r="B31" s="103" t="s">
        <v>80</v>
      </c>
      <c r="C31" s="104"/>
      <c r="D31" s="104"/>
      <c r="E31" s="104"/>
      <c r="F31" s="105"/>
      <c r="G31" s="24">
        <f>G29*'Fane 14. Nøgletal'!C22+G30*'Fane 14. Nøgletal'!C23</f>
        <v>1272744.6326766952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8" t="s">
        <v>238</v>
      </c>
      <c r="C34" s="99"/>
      <c r="D34" s="99"/>
      <c r="E34" s="99"/>
      <c r="F34" s="99"/>
      <c r="G34" s="99"/>
      <c r="H34" s="100"/>
      <c r="I34" s="1"/>
    </row>
    <row r="35" spans="1:9" x14ac:dyDescent="0.25">
      <c r="A35" s="1"/>
      <c r="B35" s="103" t="s">
        <v>82</v>
      </c>
      <c r="C35" s="104"/>
      <c r="D35" s="104"/>
      <c r="E35" s="104"/>
      <c r="F35" s="105"/>
      <c r="G35" s="24">
        <f>(G29+G30-G31)*(1+'Fane 14. Nøgletal'!C14)</f>
        <v>43687800.431124859</v>
      </c>
      <c r="H35" s="14" t="s">
        <v>3</v>
      </c>
      <c r="I35" s="1"/>
    </row>
    <row r="36" spans="1:9" x14ac:dyDescent="0.25">
      <c r="A36" s="1"/>
      <c r="B36" s="103" t="s">
        <v>240</v>
      </c>
      <c r="C36" s="104"/>
      <c r="D36" s="104"/>
      <c r="E36" s="104"/>
      <c r="F36" s="105"/>
      <c r="G36" s="24">
        <f>SUM('Fane 2.1. Økonomisk ramme 2022'!C11,'Fane 2.1. Økonomisk ramme 2022'!C13,'Fane 2.1. Økonomisk ramme 2022'!C15)*(1+'Fane 14. Nøgletal'!C14)</f>
        <v>37247.622762670006</v>
      </c>
      <c r="H36" s="14" t="s">
        <v>3</v>
      </c>
      <c r="I36" s="1"/>
    </row>
    <row r="37" spans="1:9" x14ac:dyDescent="0.25">
      <c r="A37" s="1"/>
      <c r="B37" s="103" t="s">
        <v>239</v>
      </c>
      <c r="C37" s="104"/>
      <c r="D37" s="104"/>
      <c r="E37" s="104"/>
      <c r="F37" s="105"/>
      <c r="G37" s="24">
        <f>(G35+G36)*'Fane 14. Nøgletal'!C24</f>
        <v>647130.71119753551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8" t="s">
        <v>85</v>
      </c>
      <c r="C40" s="99"/>
      <c r="D40" s="99"/>
      <c r="E40" s="99"/>
      <c r="F40" s="99"/>
      <c r="G40" s="99"/>
      <c r="H40" s="100"/>
      <c r="I40" s="1"/>
    </row>
    <row r="41" spans="1:9" x14ac:dyDescent="0.25">
      <c r="A41" s="1"/>
      <c r="B41" s="103" t="s">
        <v>81</v>
      </c>
      <c r="C41" s="104"/>
      <c r="D41" s="104"/>
      <c r="E41" s="104"/>
      <c r="F41" s="105"/>
      <c r="G41" s="24">
        <f>(G35+G36-G37)*(1+'Fane 14. Nøgletal'!C14)</f>
        <v>43220074.469920881</v>
      </c>
      <c r="H41" s="14" t="s">
        <v>3</v>
      </c>
      <c r="I41" s="1"/>
    </row>
    <row r="42" spans="1:9" x14ac:dyDescent="0.25">
      <c r="A42" s="1"/>
      <c r="B42" s="47" t="s">
        <v>242</v>
      </c>
      <c r="C42" s="62"/>
      <c r="D42" s="62"/>
      <c r="E42" s="62"/>
      <c r="F42" s="63"/>
      <c r="G42" s="24">
        <f>G36*(1+'Fane 14. Nøgletal'!C14)</f>
        <v>37370.539917786817</v>
      </c>
      <c r="H42" s="14" t="s">
        <v>3</v>
      </c>
      <c r="I42" s="1"/>
    </row>
    <row r="43" spans="1:9" x14ac:dyDescent="0.25">
      <c r="A43" s="1"/>
      <c r="B43" s="103" t="s">
        <v>101</v>
      </c>
      <c r="C43" s="104"/>
      <c r="D43" s="104"/>
      <c r="E43" s="104"/>
      <c r="F43" s="105"/>
      <c r="G43" s="9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3" t="s">
        <v>241</v>
      </c>
      <c r="C44" s="104"/>
      <c r="D44" s="104"/>
      <c r="E44" s="104"/>
      <c r="F44" s="105"/>
      <c r="G44" s="24">
        <f>(G41+G43)*'Fane 14. Nøgletal'!C24</f>
        <v>639657.10215482907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8" t="s">
        <v>181</v>
      </c>
      <c r="C52" s="99"/>
      <c r="D52" s="99"/>
      <c r="E52" s="99"/>
      <c r="F52" s="99"/>
      <c r="G52" s="99"/>
      <c r="H52" s="100"/>
      <c r="I52" s="1"/>
    </row>
    <row r="53" spans="1:9" x14ac:dyDescent="0.25">
      <c r="A53" s="1"/>
      <c r="B53" s="103" t="s">
        <v>182</v>
      </c>
      <c r="C53" s="104"/>
      <c r="D53" s="104"/>
      <c r="E53" s="104"/>
      <c r="F53" s="105"/>
      <c r="G53" s="24">
        <f>(G41+G43-G44)*(1+'Fane 14. Nøgletal'!C14)</f>
        <v>42720932.745079681</v>
      </c>
      <c r="H53" s="14" t="s">
        <v>3</v>
      </c>
      <c r="I53" s="1"/>
    </row>
    <row r="54" spans="1:9" x14ac:dyDescent="0.25">
      <c r="A54" s="1"/>
      <c r="B54" s="103" t="s">
        <v>183</v>
      </c>
      <c r="C54" s="104"/>
      <c r="D54" s="104"/>
      <c r="E54" s="104"/>
      <c r="F54" s="105"/>
      <c r="G54" s="9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3" t="s">
        <v>184</v>
      </c>
      <c r="C55" s="104"/>
      <c r="D55" s="104"/>
      <c r="E55" s="104"/>
      <c r="F55" s="105"/>
      <c r="G55" s="24">
        <f>(G53+G54)*'Fane 14. Nøgletal'!C24</f>
        <v>632269.80462717928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8" t="s">
        <v>205</v>
      </c>
      <c r="C58" s="99"/>
      <c r="D58" s="99"/>
      <c r="E58" s="99"/>
      <c r="F58" s="99"/>
      <c r="G58" s="99"/>
      <c r="H58" s="100"/>
      <c r="I58" s="1"/>
    </row>
    <row r="59" spans="1:9" x14ac:dyDescent="0.25">
      <c r="A59" s="1"/>
      <c r="B59" s="103" t="s">
        <v>255</v>
      </c>
      <c r="C59" s="104"/>
      <c r="D59" s="104"/>
      <c r="E59" s="104"/>
      <c r="F59" s="105"/>
      <c r="G59" s="24">
        <f>(G53+G54-G55)*(1+'Fane 14. Nøgletal'!C14)</f>
        <v>42227555.528155997</v>
      </c>
      <c r="H59" s="14" t="s">
        <v>3</v>
      </c>
      <c r="I59" s="1"/>
    </row>
    <row r="60" spans="1:9" x14ac:dyDescent="0.25">
      <c r="A60" s="1"/>
      <c r="B60" s="103" t="s">
        <v>256</v>
      </c>
      <c r="C60" s="104"/>
      <c r="D60" s="104"/>
      <c r="E60" s="104"/>
      <c r="F60" s="105"/>
      <c r="G60" s="9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3" t="s">
        <v>257</v>
      </c>
      <c r="C61" s="104"/>
      <c r="D61" s="104"/>
      <c r="E61" s="104"/>
      <c r="F61" s="105"/>
      <c r="G61" s="24">
        <f>(G59+G60)*'Fane 14. Nøgletal'!C24</f>
        <v>624967.82181670878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RC264wVbToFG3LxVwSTryMT3q6wQh8XVtMgCeynPNZtSRBzN6PnjrWUuHlB9jHdn7PP7vF6JqrvpcZrRvWo9oA==" saltValue="eStgWTbs3ax8yq7vOTxAeA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96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10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3" t="s">
        <v>243</v>
      </c>
      <c r="C9" s="104"/>
      <c r="D9" s="104"/>
      <c r="E9" s="104"/>
      <c r="F9" s="105"/>
      <c r="G9" s="23">
        <v>9.4815758008088991E-3</v>
      </c>
      <c r="H9" s="14"/>
      <c r="I9" s="1"/>
    </row>
    <row r="10" spans="1:9" x14ac:dyDescent="0.25">
      <c r="A10" s="1"/>
      <c r="B10" s="103" t="s">
        <v>86</v>
      </c>
      <c r="C10" s="104"/>
      <c r="D10" s="104"/>
      <c r="E10" s="104"/>
      <c r="F10" s="105"/>
      <c r="G10" s="23">
        <v>6.1815795480781141E-4</v>
      </c>
      <c r="H10" s="14"/>
      <c r="I10" s="1"/>
    </row>
    <row r="11" spans="1:9" x14ac:dyDescent="0.25">
      <c r="A11" s="1"/>
      <c r="B11" s="103" t="s">
        <v>87</v>
      </c>
      <c r="C11" s="104"/>
      <c r="D11" s="104"/>
      <c r="E11" s="104"/>
      <c r="F11" s="105"/>
      <c r="G11" s="41">
        <v>8.1184212592318988E-3</v>
      </c>
      <c r="H11" s="14"/>
      <c r="I11" s="1"/>
    </row>
    <row r="12" spans="1:9" x14ac:dyDescent="0.25">
      <c r="A12" s="1"/>
      <c r="B12" s="103" t="s">
        <v>206</v>
      </c>
      <c r="C12" s="104"/>
      <c r="D12" s="104"/>
      <c r="E12" s="104"/>
      <c r="F12" s="105"/>
      <c r="G12" s="41">
        <v>6.2824205239484423E-3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4" t="s">
        <v>207</v>
      </c>
      <c r="C14" s="114"/>
      <c r="D14" s="114"/>
      <c r="E14" s="114"/>
      <c r="F14" s="114"/>
      <c r="G14" s="114"/>
      <c r="H14" s="114"/>
      <c r="I14" s="1"/>
    </row>
    <row r="15" spans="1:9" ht="14.25" customHeight="1" x14ac:dyDescent="0.25">
      <c r="A15" s="18"/>
      <c r="B15" s="114"/>
      <c r="C15" s="114"/>
      <c r="D15" s="114"/>
      <c r="E15" s="114"/>
      <c r="F15" s="114"/>
      <c r="G15" s="114"/>
      <c r="H15" s="114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c8a2C6s1ut6eCOkzu1Ta/I6aXx676QykfKu07kQj72KAV+Hw18wjNHHr1x1snkS7xBF9Az6A+fGGmAvt7pdBBQ==" saltValue="pv+oIIPnYxi+vZnCuVmUjA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2021-10-06T11:59:13Z</dcterms:modified>
</cp:coreProperties>
</file>