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emvig Vand &amp; Spildevand AS (V12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C15" i="19" l="1"/>
  <c r="E31" i="32" l="1"/>
  <c r="E16" i="27" l="1"/>
  <c r="E13" i="11" l="1"/>
  <c r="E14" i="1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5" i="11"/>
  <c r="C10" i="37" s="1"/>
  <c r="C12" i="37" s="1"/>
  <c r="G15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5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<sst xmlns="http://schemas.openxmlformats.org/spreadsheetml/2006/main" count="604" uniqueCount="255">
  <si>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</si>
  <si>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</si>
  <si>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</si>
  <si>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</si>
  <si>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</si>
  <si>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</si>
  <si>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</si>
  <si>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</si>
  <si>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</si>
  <si>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</si>
  <si>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</si>
  <si>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</si>
  <si>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</si>
  <si>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</si>
  <si>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</si>
  <si>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</si>
  <si>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</si>
  <si>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</si>
  <si>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</si>
  <si>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</si>
  <si>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</si>
  <si>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</si>
  <si>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</si>
  <si>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</si>
  <si>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</si>
  <si>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</si>
  <si>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</si>
  <si>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</si>
  <si>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</si>
  <si>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</si>
  <si>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</si>
  <si>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</si>
  <si>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</si>
  <si>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</si>
  <si>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</si>
  <si>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</si>
  <si>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</si>
  <si>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</si>
  <si>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</si>
  <si>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</si>
  <si>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</si>
  <si>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</si>
  <si>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</si>
  <si>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</si>
  <si>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</si>
  <si>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</si>
  <si>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</si>
  <si>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</si>
  <si>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</si>
  <si>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</si>
  <si>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</si>
  <si>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</si>
  <si>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</si>
  <si>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</si>
  <si>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</si>
  <si>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</si>
  <si>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</si>
  <si>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</si>
  <si>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</si>
  <si>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</si>
  <si>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</si>
  <si>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</si>
  <si>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</si>
  <si>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</si>
  <si>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</si>
  <si>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</si>
  <si>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</si>
  <si>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</si>
  <si>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</si>
  <si>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</si>
  <si>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</si>
  <si>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</si>
  <si>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</si>
  <si>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</si>
  <si>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</si>
  <si>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</si>
  <si>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</si>
  <si>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</si>
  <si>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</si>
  <si>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</si>
  <si>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</si>
  <si>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</si>
  <si>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</si>
  <si>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</si>
  <si>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</si>
  <si>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</si>
  <si>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</si>
  <si>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</si>
  <si>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</si>
  <si>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</si>
  <si>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</si>
  <si>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</si>
  <si>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</si>
  <si>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</si>
  <si>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</si>
  <si>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</si>
  <si>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</si>
  <si>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</si>
  <si>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</si>
  <si>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</si>
  <si>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</si>
  <si>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</si>
  <si>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</si>
  <si>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</si>
  <si>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</si>
  <si>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</si>
  <si>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</si>
  <si>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</si>
  <si>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</si>
  <si>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</si>
  <si>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</si>
  <si>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</si>
  <si>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</si>
  <si>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</si>
  <si>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</si>
  <si>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</si>
  <si>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</si>
  <si>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</si>
  <si>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</si>
  <si>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</si>
  <si>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</si>
  <si>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</si>
  <si>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</si>
  <si>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</si>
  <si>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</si>
  <si>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</si>
  <si>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</si>
  <si>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</si>
  <si>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</si>
  <si>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</si>
  <si>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</si>
  <si>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</si>
  <si>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</si>
  <si>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</si>
  <si>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</si>
  <si>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</si>
  <si>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</si>
  <si>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</si>
  <si>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</si>
  <si>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</si>
  <si>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</si>
  <si>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</si>
  <si>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</si>
  <si>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</si>
  <si>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</si>
  <si>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</si>
  <si>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</si>
  <si>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</si>
  <si>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</si>
  <si>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</si>
  <si>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</si>
  <si>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</si>
  <si>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</si>
  <si>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</si>
  <si>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</si>
  <si>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</si>
  <si>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</si>
  <si>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</si>
  <si>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</si>
  <si>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</si>
  <si>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</si>
  <si>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</si>
  <si>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</si>
  <si>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</si>
  <si>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</si>
  <si>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</si>
  <si>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</si>
  <si>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</si>
  <si>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</si>
  <si>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</si>
  <si>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</si>
  <si>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</si>
  <si>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</si>
  <si>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</si>
  <si>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</si>
  <si>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</si>
  <si>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</si>
  <si>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</si>
  <si>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</si>
  <si>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</si>
  <si>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</si>
  <si>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</si>
  <si>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</si>
  <si>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</si>
  <si>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</si>
  <si>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</si>
  <si>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</si>
  <si>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</si>
  <si>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</si>
  <si>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</si>
  <si>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</si>
  <si>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</si>
  <si>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</si>
  <si>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</si>
  <si>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</si>
  <si>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</si>
  <si>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</si>
  <si>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</si>
  <si>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</si>
  <si>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</si>
  <si>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</si>
  <si>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</si>
  <si>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</si>
  <si>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</si>
  <si>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</si>
  <si>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</si>
  <si>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</si>
  <si>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</si>
  <si>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</si>
  <si>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</si>
  <si>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</si>
  <si>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</si>
  <si>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</si>
  <si>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</si>
  <si>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</si>
  <si>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</si>
  <si>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</si>
  <si>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</si>
  <si>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</si>
  <si>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</si>
  <si>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</si>
  <si>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</si>
  <si>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</si>
  <si>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</si>
  <si>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</si>
  <si>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</si>
  <si>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</si>
  <si>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</si>
  <si>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</si>
  <si>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</si>
  <si>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</si>
  <si>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</si>
  <si>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</si>
  <si>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</si>
  <si>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</si>
  <si>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</si>
  <si>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</si>
  <si>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</si>
  <si>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Erstatninger</t>
  </si>
  <si>
    <t>Ingen tilknyttet virksomhed</t>
  </si>
  <si>
    <t>Ingen bortfald eller nedsættelse</t>
  </si>
  <si>
    <t>Udvidelse af forsyningsområde</t>
  </si>
  <si>
    <t>Ingen engangstillæg</t>
  </si>
  <si>
    <t>Ø110 mm &lt; Ledningsnet ≤ Ø 250 mm</t>
  </si>
  <si>
    <t>75</t>
  </si>
  <si>
    <t>Etageareal vandbehandlingsbygning</t>
  </si>
  <si>
    <t>Filteranlæg, trykfiltre, enkelt filtrering</t>
  </si>
  <si>
    <t>25</t>
  </si>
  <si>
    <t>Rentvandsbeholder  element</t>
  </si>
  <si>
    <t>50</t>
  </si>
  <si>
    <t>SRO-anlæg, vandværk</t>
  </si>
  <si>
    <t>10</t>
  </si>
  <si>
    <t>Yderligere opkrævningsret efter § 17, stk. 10 - 2017</t>
  </si>
  <si>
    <t>Yderligere opkrævningsret efter § 17, stk. 10 - 2018</t>
  </si>
  <si>
    <t>Økonomisk ramme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</si>
</sst>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8" t="s">
        <v>234</v>
      </c>
      <c r="C10" s="9">
        <v>12626647</v>
      </c>
      <c r="D10" s="14" t="s">
        <v>3</v>
      </c>
      <c r="E10" s="1"/>
      <c r="F10" s="1"/>
    </row>
    <row r="11" spans="1:6" ht="15" customHeight="1" x14ac:dyDescent="0.45">
      <c r="A11" s="1"/>
      <c r="B11" s="48" t="s">
        <v>235</v>
      </c>
      <c r="C11" s="9">
        <v>41560.400000000001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40761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616817.5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981461.65</v>
      </c>
      <c r="D14" s="14" t="s">
        <v>3</v>
      </c>
      <c r="E14" s="1"/>
      <c r="F14" s="1"/>
    </row>
    <row r="15" spans="1:6" x14ac:dyDescent="0.45">
      <c r="A15" s="1"/>
      <c r="B15" s="40" t="s">
        <v>169</v>
      </c>
      <c r="C15" s="12">
        <f>SUM(C10:C14)</f>
        <v>14307247.550000001</v>
      </c>
      <c r="D15" s="13" t="s">
        <v>3</v>
      </c>
      <c r="E15" s="1"/>
      <c r="F15" s="1"/>
    </row>
    <row r="16" spans="1:6" x14ac:dyDescent="0.45">
      <c r="A16" s="1"/>
      <c r="B16" s="40" t="s">
        <v>170</v>
      </c>
      <c r="C16" s="12">
        <f>C15*(1+'Fane 12. Nøgletal'!C13)^2</f>
        <v>14658473.880945344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45">
      <c r="A3" s="1"/>
      <c r="B3" s="91"/>
      <c r="C3" s="91"/>
      <c r="D3" s="91"/>
      <c r="E3" s="91"/>
      <c r="F3" s="91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-1239562.6583333344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0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-1239562.6583333344</v>
      </c>
      <c r="F7" s="17" t="s">
        <v>3</v>
      </c>
      <c r="G7" s="1"/>
    </row>
    <row r="8" spans="1:7" ht="15" customHeight="1" x14ac:dyDescent="0.45">
      <c r="A8" s="1"/>
      <c r="B8" s="40"/>
      <c r="C8" s="41"/>
      <c r="D8" s="41"/>
      <c r="E8" s="41"/>
      <c r="F8" s="20"/>
      <c r="G8" s="1"/>
    </row>
    <row r="9" spans="1:7" ht="28.5" customHeight="1" x14ac:dyDescent="0.4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35363612.071755022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26707859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8655753.0717550218</v>
      </c>
      <c r="F15" s="17" t="s">
        <v>3</v>
      </c>
      <c r="G15" s="1"/>
    </row>
    <row r="16" spans="1:7" x14ac:dyDescent="0.45">
      <c r="A16" s="1"/>
      <c r="B16" s="40"/>
      <c r="C16" s="41"/>
      <c r="D16" s="41"/>
      <c r="E16" s="41"/>
      <c r="F16" s="20"/>
      <c r="G16" s="1"/>
    </row>
    <row r="17" spans="1:7" ht="30" customHeight="1" x14ac:dyDescent="0.4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30970696.493191451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26515544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4455152.4931914508</v>
      </c>
      <c r="F23" s="17" t="s">
        <v>3</v>
      </c>
      <c r="G23" s="1"/>
    </row>
    <row r="24" spans="1:7" x14ac:dyDescent="0.45">
      <c r="A24" s="1"/>
      <c r="B24" s="40"/>
      <c r="C24" s="41"/>
      <c r="D24" s="41"/>
      <c r="E24" s="41"/>
      <c r="F24" s="20"/>
      <c r="G24" s="1"/>
    </row>
    <row r="25" spans="1:7" ht="28.5" customHeight="1" x14ac:dyDescent="0.4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31178246.677243959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28519936.289999999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2658310.3872439601</v>
      </c>
      <c r="F31" s="17" t="s">
        <v>3</v>
      </c>
      <c r="G31" s="1"/>
    </row>
    <row r="32" spans="1:7" x14ac:dyDescent="0.45">
      <c r="A32" s="1"/>
      <c r="B32" s="40"/>
      <c r="C32" s="41"/>
      <c r="D32" s="41"/>
      <c r="E32" s="41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252</v>
      </c>
      <c r="C35" s="110"/>
      <c r="D35" s="111"/>
      <c r="E35" s="9">
        <v>1</v>
      </c>
      <c r="F35" s="14"/>
      <c r="G35" s="1"/>
    </row>
    <row r="36" spans="1:7" x14ac:dyDescent="0.45">
      <c r="A36" s="1"/>
      <c r="B36" s="109" t="s">
        <v>253</v>
      </c>
      <c r="C36" s="110"/>
      <c r="D36" s="111"/>
      <c r="E36" s="9">
        <v>1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sc7cmF9+ATPbVJDh5isSFh3Cp5FwUNLhcL/diDjt3ah2Y1rjiQxkbcSWr7TaXbJCGC4ph5adBCLN81S5bxPbHA==" saltValue="qu68Fj/vNb9efH5m+Shi0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65" x14ac:dyDescent="0.45">
      <c r="A10" s="1"/>
      <c r="B10" s="51" t="s">
        <v>243</v>
      </c>
      <c r="C10" s="52" t="s">
        <v>244</v>
      </c>
      <c r="D10" s="9">
        <v>16915114</v>
      </c>
      <c r="E10" s="9">
        <f>IFERROR(D10/C10,0)</f>
        <v>225534.85333333333</v>
      </c>
      <c r="F10" s="9">
        <v>0</v>
      </c>
      <c r="G10" s="9">
        <v>89260</v>
      </c>
      <c r="H10" s="14" t="s">
        <v>3</v>
      </c>
      <c r="I10" s="1"/>
    </row>
    <row r="11" spans="1:9" ht="26.65" x14ac:dyDescent="0.45">
      <c r="A11" s="1"/>
      <c r="B11" s="51" t="s">
        <v>245</v>
      </c>
      <c r="C11" s="52" t="s">
        <v>244</v>
      </c>
      <c r="D11" s="9">
        <v>3485000</v>
      </c>
      <c r="E11" s="9">
        <f t="shared" ref="E11:E12" si="0">IFERROR(D11/C11,0)</f>
        <v>46466.666666666664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51" t="s">
        <v>246</v>
      </c>
      <c r="C12" s="52" t="s">
        <v>247</v>
      </c>
      <c r="D12" s="9">
        <v>2965730</v>
      </c>
      <c r="E12" s="9">
        <f t="shared" si="0"/>
        <v>118629.2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51" t="s">
        <v>248</v>
      </c>
      <c r="C13" s="52" t="s">
        <v>249</v>
      </c>
      <c r="D13" s="9">
        <v>4448595</v>
      </c>
      <c r="E13" s="9">
        <f t="shared" ref="E13:E14" si="1">IFERROR(D13/C13,0)</f>
        <v>88971.9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51" t="s">
        <v>250</v>
      </c>
      <c r="C14" s="52" t="s">
        <v>251</v>
      </c>
      <c r="D14" s="9">
        <v>1482865</v>
      </c>
      <c r="E14" s="9">
        <f t="shared" si="1"/>
        <v>148286.5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95" t="s">
        <v>198</v>
      </c>
      <c r="C15" s="96"/>
      <c r="D15" s="97"/>
      <c r="E15" s="12">
        <f>SUM(E10:E14)</f>
        <v>627889.12</v>
      </c>
      <c r="F15" s="12">
        <f t="shared" ref="F15:G15" si="2">SUM(F10:F14)</f>
        <v>0</v>
      </c>
      <c r="G15" s="12">
        <f t="shared" si="2"/>
        <v>89260</v>
      </c>
      <c r="H15" s="13" t="s">
        <v>3</v>
      </c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Anlægsprojekter'!F15</f>
        <v>0</v>
      </c>
      <c r="D10" s="14" t="s">
        <v>3</v>
      </c>
      <c r="E10" s="9">
        <f>SUM('Fane 8. Anlægsprojekter'!E15,'Fane 8. Anlægsprojekter'!G15)</f>
        <v>717149.12</v>
      </c>
      <c r="F10" s="14" t="s">
        <v>3</v>
      </c>
      <c r="G10" s="1"/>
    </row>
    <row r="11" spans="1:7" x14ac:dyDescent="0.45">
      <c r="A11" s="1"/>
      <c r="B11" s="53" t="s">
        <v>241</v>
      </c>
      <c r="C11" s="22">
        <v>539064</v>
      </c>
      <c r="D11" s="14" t="s">
        <v>3</v>
      </c>
      <c r="E11" s="9">
        <v>37279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539064</v>
      </c>
      <c r="D12" s="13" t="s">
        <v>3</v>
      </c>
      <c r="E12" s="12">
        <f>SUM(E10:E11)</f>
        <v>754428.12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545640.5808</v>
      </c>
      <c r="D13" s="13" t="s">
        <v>3</v>
      </c>
      <c r="E13" s="12">
        <f>E12*(1+'Fane 12. Nøgletal'!C13)</f>
        <v>763632.14306399995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Q7T2rGIlyUgeK0QePVsBQIMm6NfwZOJ7CnsAVNd9a5XcpyHqjuomV1nKgw9bcX04VqJjRL5RYX90UK+pdemSQ==" saltValue="YJpECe+nlPKrUQdARYeE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E4IpihFXboM1op2T3wCW1JvTqP+aLwrcsg3SYSWf2IePQ+wBt+M6jAKhHrDyAbkVdmDcvSAWf7bLL1CfNTVxg==" saltValue="XFCAu9sN6yvmmvZZDZVPq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4" t="s">
        <v>25</v>
      </c>
      <c r="C9" s="7">
        <f>'Fane 3. Omkostninger i ØR2020'!E20</f>
        <v>19217841.274343539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545640.5808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763632.14306399995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250430.79077813201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-88602.308772118369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-155081.64320804377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-365246.6398839482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20168614.197121561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omk.'!C16</f>
        <v>14658473.880945344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34827088.0780669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4" t="s">
        <v>26</v>
      </c>
      <c r="C9" s="7">
        <f>'Fane 2.1. Økonomisk ramme 2021'!C20</f>
        <v>20168614.197121561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246057.09320488304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-87054.8964045865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-153834.16647007826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-359535.82604604273</v>
      </c>
      <c r="D15" s="8" t="s">
        <v>3</v>
      </c>
      <c r="E15" s="1"/>
    </row>
    <row r="16" spans="1:5" ht="15" customHeight="1" x14ac:dyDescent="0.45">
      <c r="A16" s="1"/>
      <c r="B16" s="45" t="s">
        <v>20</v>
      </c>
      <c r="C16" s="10">
        <f>SUM(C9:C15)</f>
        <v>19814246.401405737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14837307.262292877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34651553.663698614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4" t="s">
        <v>165</v>
      </c>
      <c r="C8" s="7">
        <f>'Fane 2.2. Økonomisk ramme 2022'!C16</f>
        <v>19814246.401405737</v>
      </c>
      <c r="D8" s="8" t="s">
        <v>3</v>
      </c>
      <c r="E8" s="1"/>
    </row>
    <row r="9" spans="1:5" ht="15" customHeight="1" x14ac:dyDescent="0.4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241733.80609714999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-85525.319238617129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-152596.72443499297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-353914.30363789987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19463943.860191375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15018322.41089285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34482266.271084227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4" t="s">
        <v>166</v>
      </c>
      <c r="C8" s="7">
        <f>'Fane 2.3. Økonomisk ramme 2023'!C15</f>
        <v>19463943.860191375</v>
      </c>
      <c r="D8" s="8" t="s">
        <v>3</v>
      </c>
      <c r="E8" s="1"/>
    </row>
    <row r="9" spans="1:5" ht="15" customHeight="1" x14ac:dyDescent="0.4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237460.11509433479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-84013.289153772144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-151369.23638363788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-348380.67654336948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19117640.773204926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15201545.944305744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254</v>
      </c>
      <c r="C22" s="12">
        <f>SUM(C15,C17,C21)</f>
        <v>34319186.71751067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19054239.749799587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159751.02688049999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325163.74700115883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-64414.265936166274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-145203.7139654668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-111695.26943607131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19217841.274343539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12713989.727976264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65940.621693121735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0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31997771.624012925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7366008.1889917059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147320.16377983411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7310365.3631320614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146207.30726264123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7285232.3270136127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145704.64654027225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7260185.6982733393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145203.7139654668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7201784.7645164281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552297.39588575996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155081.64320804377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7691708.3235039134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153834.16647007826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7629836.2217496485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152596.72443499297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7568461.819181894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151369.23638363788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11988291.767596437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109093.45508512759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12030064.131080203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109473.58359282985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12122048.527739909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86414.416099202193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106213.62761140025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12306777.329671957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162898.12211004586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111695.26943607131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12508747.540570553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772948.45520938071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365246.6398839482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13074030.038037917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359535.82604604273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12869611.041378176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353914.30363789987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12668388.237940708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348380.67654336948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3.296676212785813E-3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4.2643300578558783E-3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2020-10-20T08:11:43Z</dcterms:modified>
</cp:coreProperties>
</file>