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Vejen Spildevand (S102)\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3" i="19"/>
  <c r="E28" i="27"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<sst xmlns="http://schemas.openxmlformats.org/spreadsheetml/2006/main" count="608" uniqueCount="288">
  <si>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</si>
  <si>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</si>
  <si>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</si>
  <si>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</si>
  <si>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</si>
  <si>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</si>
  <si>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</si>
  <si>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</si>
  <si>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</si>
  <si>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</si>
  <si>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</si>
  <si>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</si>
  <si>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</si>
  <si>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</si>
  <si>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</si>
  <si>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</si>
  <si>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</si>
  <si>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</si>
  <si>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</si>
  <si>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</si>
  <si>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</si>
  <si>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</si>
  <si>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</si>
  <si>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</si>
  <si>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</si>
  <si>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</si>
  <si>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</si>
  <si>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</si>
  <si>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</si>
  <si>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</si>
  <si>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</si>
  <si>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</si>
  <si>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</si>
  <si>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</si>
  <si>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</si>
  <si>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</si>
  <si>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</si>
  <si>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</si>
  <si>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</si>
  <si>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</si>
  <si>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</si>
  <si>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</si>
  <si>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</si>
  <si>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</si>
  <si>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</si>
  <si>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</si>
  <si>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</si>
  <si>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</si>
  <si>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</si>
  <si>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</si>
  <si>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</si>
  <si>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</si>
  <si>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</si>
  <si>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</si>
  <si>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</si>
  <si>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</si>
  <si>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</si>
  <si>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</si>
  <si>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</si>
  <si>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</si>
  <si>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</si>
  <si>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</si>
  <si>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</si>
  <si>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</si>
  <si>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</si>
  <si>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</si>
  <si>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</si>
  <si>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</si>
  <si>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</si>
  <si>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</si>
  <si>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</si>
  <si>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</si>
  <si>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</si>
  <si>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</si>
  <si>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</si>
  <si>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</si>
  <si>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</si>
  <si>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</si>
  <si>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</si>
  <si>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</si>
  <si>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</si>
  <si>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</si>
  <si>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</si>
  <si>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</si>
  <si>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</si>
  <si>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</si>
  <si>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</si>
  <si>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</si>
  <si>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</si>
  <si>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</si>
  <si>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</si>
  <si>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</si>
  <si>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</si>
  <si>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</si>
  <si>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</si>
  <si>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</si>
  <si>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</si>
  <si>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</si>
  <si>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</si>
  <si>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</si>
  <si>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</si>
  <si>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</si>
  <si>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</si>
  <si>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</si>
  <si>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</si>
  <si>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</si>
  <si>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</si>
  <si>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</si>
  <si>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</si>
  <si>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</si>
  <si>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</si>
  <si>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</si>
  <si>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</si>
  <si>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</si>
  <si>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</si>
  <si>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</si>
  <si>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</si>
  <si>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</si>
  <si>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</si>
  <si>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</si>
  <si>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</si>
  <si>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</si>
  <si>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</si>
  <si>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</si>
  <si>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</si>
  <si>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</si>
  <si>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</si>
  <si>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</si>
  <si>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</si>
  <si>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</si>
  <si>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</si>
  <si>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</si>
  <si>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</si>
  <si>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</si>
  <si>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</si>
  <si>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</si>
  <si>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</si>
  <si>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</si>
  <si>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</si>
  <si>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</si>
  <si>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</si>
  <si>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</si>
  <si>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</si>
  <si>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</si>
  <si>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</si>
  <si>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</si>
  <si>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</si>
  <si>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</si>
  <si>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</si>
  <si>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</si>
  <si>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</si>
  <si>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</si>
  <si>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</si>
  <si>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</si>
  <si>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</si>
  <si>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</si>
  <si>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</si>
  <si>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</si>
  <si>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</si>
  <si>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</si>
  <si>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</si>
  <si>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</si>
  <si>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</si>
  <si>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</si>
  <si>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</si>
  <si>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</si>
  <si>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</si>
  <si>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</si>
  <si>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</si>
  <si>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</si>
  <si>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</si>
  <si>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</si>
  <si>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</si>
  <si>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</si>
  <si>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</si>
  <si>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</si>
  <si>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</si>
  <si>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</si>
  <si>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</si>
  <si>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</si>
  <si>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</si>
  <si>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</si>
  <si>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</si>
  <si>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</si>
  <si>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</si>
  <si>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</si>
  <si>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</si>
  <si>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</si>
  <si>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</si>
  <si>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</si>
  <si>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</si>
  <si>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</si>
  <si>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</si>
  <si>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</si>
  <si>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</si>
  <si>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</si>
  <si>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</si>
  <si>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</si>
  <si>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</si>
  <si>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</si>
  <si>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</si>
  <si>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</si>
  <si>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</si>
  <si>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</si>
  <si>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</si>
  <si>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</si>
  <si>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</si>
  <si>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</si>
  <si>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</si>
  <si>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</si>
  <si>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</si>
  <si>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</si>
  <si>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</si>
  <si>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</si>
  <si>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</si>
  <si>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</si>
  <si>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</si>
  <si>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</si>
  <si>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</si>
  <si>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</si>
  <si>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</si>
  <si>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</si>
  <si>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</si>
  <si>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</si>
  <si>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</si>
  <si>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</si>
  <si>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</si>
  <si>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</si>
  <si>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</si>
  <si>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</si>
  <si>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</si>
  <si>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</si>
  <si>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</si>
  <si>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</si>
  <si>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</si>
  <si>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</si>
  <si>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</si>
  <si>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</si>
  <si>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</si>
  <si>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</si>
  <si>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</si>
  <si>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</si>
  <si>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</si>
  <si>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</si>
  <si>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</si>
  <si>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</si>
  <si>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</si>
  <si>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</si>
  <si>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</si>
  <si>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</si>
  <si>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</si>
  <si>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</si>
  <si>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</si>
  <si>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</si>
  <si>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</si>
  <si>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</si>
  <si>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</si>
  <si>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</si>
  <si>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</si>
  <si>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</si>
  <si>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</si>
  <si>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</si>
  <si>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</si>
  <si>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</si>
  <si>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</si>
  <si>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</si>
  <si>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</si>
  <si>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</si>
  <si>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Afgift til Forsyningssekretariatet</t>
  </si>
  <si>
    <t>Køb af ydelser og produkter fra andre vandselskaber reguleret af vandsektorloven</t>
  </si>
  <si>
    <t>Ejendomsskatter</t>
  </si>
  <si>
    <t>Ingen anlægsprojekter</t>
  </si>
  <si>
    <t>Resultat af kontrol med overholdelse af den økonomiske ramme for 2021</t>
  </si>
  <si>
    <t>Ingen tilknyttet virksomhed under hovedvirksomheden</t>
  </si>
  <si>
    <t>Nye tilslutninger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</si>
  <si>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</si>
  <si>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</si>
  <si>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</si>
  <si>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</si>
  <si>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</si>
  <si>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</si>
  <si>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</si>
  <si>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</si>
  <si>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Uvedkommende vand mm.</t>
  </si>
  <si>
    <t>Indregnet fradrag i økonomisk ramme for 2022</t>
  </si>
  <si>
    <t>Indregnet fradrag i økonomisk ramme for 2023</t>
  </si>
  <si>
    <t>Korrektion af fradrag i den økonomiske ramme for 2023</t>
  </si>
  <si>
    <t>Tillæg/fradrag i den økonnomiske ramme for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</si>
</sst>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3" fontId="8" fillId="8" borderId="2" xfId="0"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1"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1" xfId="0" applyFont="1" applyFill="1" applyBorder="1" applyAlignment="1" applyProtection="1">
      <alignment horizontal="center" vertical="top" wrapText="1"/>
    </xf>
    <xf numFmtId="0" fontId="7" fillId="3" borderId="1" xfId="0" applyFont="1" applyFill="1" applyBorder="1" applyAlignment="1" applyProtection="1">
      <alignment horizontal="left"/>
    </xf>
    <xf numFmtId="0" fontId="8" fillId="8"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9" t="s">
        <v>4</v>
      </c>
      <c r="E6" s="99"/>
      <c r="F6" s="99"/>
      <c r="G6" s="99"/>
      <c r="H6" s="3"/>
      <c r="I6" s="1"/>
    </row>
    <row r="7" spans="1:9" ht="15" customHeight="1" x14ac:dyDescent="0.25">
      <c r="A7" s="1"/>
      <c r="B7" s="1"/>
      <c r="C7" s="3"/>
      <c r="D7" s="99"/>
      <c r="E7" s="99"/>
      <c r="F7" s="99"/>
      <c r="G7" s="99"/>
      <c r="H7" s="3"/>
      <c r="I7" s="1"/>
    </row>
    <row r="8" spans="1:9" ht="15.75" x14ac:dyDescent="0.25">
      <c r="A8" s="1"/>
      <c r="B8" s="1"/>
      <c r="C8" s="4"/>
      <c r="D8" s="107" t="s">
        <v>227</v>
      </c>
      <c r="E8" s="107"/>
      <c r="F8" s="107"/>
      <c r="G8" s="107"/>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6" t="s">
        <v>5</v>
      </c>
      <c r="E11" s="106"/>
      <c r="F11" s="106"/>
      <c r="G11" s="106"/>
      <c r="H11" s="5"/>
      <c r="I11" s="1"/>
    </row>
    <row r="12" spans="1:9" x14ac:dyDescent="0.25">
      <c r="A12" s="1"/>
      <c r="B12" s="1"/>
      <c r="C12" s="1"/>
      <c r="D12" s="1"/>
      <c r="E12" s="1"/>
      <c r="F12" s="1"/>
      <c r="G12" s="1"/>
      <c r="H12" s="5"/>
      <c r="I12" s="1"/>
    </row>
    <row r="13" spans="1:9" x14ac:dyDescent="0.25">
      <c r="A13" s="1"/>
      <c r="B13" s="1"/>
      <c r="C13" s="6" t="s">
        <v>6</v>
      </c>
      <c r="D13" s="111" t="s">
        <v>169</v>
      </c>
      <c r="E13" s="112"/>
      <c r="F13" s="112"/>
      <c r="G13" s="113"/>
      <c r="H13" s="5"/>
      <c r="I13" s="1"/>
    </row>
    <row r="14" spans="1:9" x14ac:dyDescent="0.25">
      <c r="A14" s="1"/>
      <c r="B14" s="1"/>
      <c r="C14" s="6" t="s">
        <v>16</v>
      </c>
      <c r="D14" s="96" t="s">
        <v>237</v>
      </c>
      <c r="E14" s="97"/>
      <c r="F14" s="97"/>
      <c r="G14" s="98"/>
      <c r="H14" s="5"/>
      <c r="I14" s="1"/>
    </row>
    <row r="15" spans="1:9" x14ac:dyDescent="0.25">
      <c r="A15" s="1"/>
      <c r="B15" s="1"/>
      <c r="C15" s="6" t="s">
        <v>34</v>
      </c>
      <c r="D15" s="96" t="s">
        <v>170</v>
      </c>
      <c r="E15" s="97"/>
      <c r="F15" s="97"/>
      <c r="G15" s="98"/>
      <c r="H15" s="5"/>
      <c r="I15" s="1"/>
    </row>
    <row r="16" spans="1:9" x14ac:dyDescent="0.25">
      <c r="A16" s="1"/>
      <c r="B16" s="1"/>
      <c r="C16" s="6" t="s">
        <v>35</v>
      </c>
      <c r="D16" s="96" t="s">
        <v>183</v>
      </c>
      <c r="E16" s="97"/>
      <c r="F16" s="97"/>
      <c r="G16" s="98"/>
      <c r="H16" s="5"/>
      <c r="I16" s="1"/>
    </row>
    <row r="17" spans="1:9" x14ac:dyDescent="0.25">
      <c r="A17" s="1"/>
      <c r="B17" s="1"/>
      <c r="C17" s="6" t="s">
        <v>119</v>
      </c>
      <c r="D17" s="96" t="s">
        <v>184</v>
      </c>
      <c r="E17" s="97"/>
      <c r="F17" s="97"/>
      <c r="G17" s="98"/>
      <c r="H17" s="5"/>
      <c r="I17" s="1"/>
    </row>
    <row r="18" spans="1:9" x14ac:dyDescent="0.25">
      <c r="A18" s="1"/>
      <c r="B18" s="1"/>
      <c r="C18" s="6" t="s">
        <v>106</v>
      </c>
      <c r="D18" s="108" t="s">
        <v>95</v>
      </c>
      <c r="E18" s="109"/>
      <c r="F18" s="109"/>
      <c r="G18" s="110"/>
      <c r="H18" s="5"/>
      <c r="I18" s="1"/>
    </row>
    <row r="19" spans="1:9" x14ac:dyDescent="0.25">
      <c r="A19" s="1"/>
      <c r="B19" s="1"/>
      <c r="C19" s="6" t="s">
        <v>107</v>
      </c>
      <c r="D19" s="108" t="s">
        <v>96</v>
      </c>
      <c r="E19" s="109"/>
      <c r="F19" s="109"/>
      <c r="G19" s="110"/>
      <c r="H19" s="5"/>
      <c r="I19" s="1"/>
    </row>
    <row r="20" spans="1:9" x14ac:dyDescent="0.25">
      <c r="A20" s="1"/>
      <c r="B20" s="1"/>
      <c r="C20" s="6" t="s">
        <v>7</v>
      </c>
      <c r="D20" s="108" t="s">
        <v>10</v>
      </c>
      <c r="E20" s="109"/>
      <c r="F20" s="109"/>
      <c r="G20" s="110"/>
      <c r="H20" s="5"/>
      <c r="I20" s="1"/>
    </row>
    <row r="21" spans="1:9" x14ac:dyDescent="0.25">
      <c r="A21" s="1"/>
      <c r="B21" s="1"/>
      <c r="C21" s="6" t="s">
        <v>108</v>
      </c>
      <c r="D21" s="100" t="s">
        <v>12</v>
      </c>
      <c r="E21" s="101"/>
      <c r="F21" s="101"/>
      <c r="G21" s="102"/>
      <c r="H21" s="5"/>
      <c r="I21" s="1"/>
    </row>
    <row r="22" spans="1:9" x14ac:dyDescent="0.25">
      <c r="A22" s="1"/>
      <c r="B22" s="1"/>
      <c r="C22" s="6" t="s">
        <v>83</v>
      </c>
      <c r="D22" s="103" t="s">
        <v>185</v>
      </c>
      <c r="E22" s="104"/>
      <c r="F22" s="104"/>
      <c r="G22" s="105"/>
      <c r="H22" s="5"/>
      <c r="I22" s="1"/>
    </row>
    <row r="23" spans="1:9" x14ac:dyDescent="0.25">
      <c r="A23" s="1"/>
      <c r="B23" s="1"/>
      <c r="C23" s="6" t="s">
        <v>8</v>
      </c>
      <c r="D23" s="103" t="s">
        <v>255</v>
      </c>
      <c r="E23" s="104"/>
      <c r="F23" s="104"/>
      <c r="G23" s="105"/>
      <c r="H23" s="5"/>
      <c r="I23" s="1"/>
    </row>
    <row r="24" spans="1:9" x14ac:dyDescent="0.25">
      <c r="A24" s="1"/>
      <c r="B24" s="1"/>
      <c r="C24" s="6" t="s">
        <v>9</v>
      </c>
      <c r="D24" s="103" t="s">
        <v>186</v>
      </c>
      <c r="E24" s="104"/>
      <c r="F24" s="104"/>
      <c r="G24" s="105"/>
      <c r="H24" s="5"/>
      <c r="I24" s="1"/>
    </row>
    <row r="25" spans="1:9" x14ac:dyDescent="0.25">
      <c r="A25" s="1"/>
      <c r="B25" s="1"/>
      <c r="C25" s="6" t="s">
        <v>248</v>
      </c>
      <c r="D25" s="103" t="s">
        <v>239</v>
      </c>
      <c r="E25" s="104"/>
      <c r="F25" s="104"/>
      <c r="G25" s="105"/>
      <c r="H25" s="1"/>
      <c r="I25" s="1"/>
    </row>
    <row r="26" spans="1:9" x14ac:dyDescent="0.25">
      <c r="A26" s="1"/>
      <c r="B26" s="1"/>
      <c r="C26" s="6" t="s">
        <v>249</v>
      </c>
      <c r="D26" s="103" t="s">
        <v>84</v>
      </c>
      <c r="E26" s="104"/>
      <c r="F26" s="104"/>
      <c r="G26" s="105"/>
      <c r="H26" s="1"/>
      <c r="I26" s="1"/>
    </row>
    <row r="27" spans="1:9" x14ac:dyDescent="0.25">
      <c r="A27" s="1"/>
      <c r="B27" s="1"/>
      <c r="C27" s="6" t="s">
        <v>250</v>
      </c>
      <c r="D27" s="103" t="s">
        <v>85</v>
      </c>
      <c r="E27" s="104"/>
      <c r="F27" s="104"/>
      <c r="G27" s="105"/>
      <c r="H27" s="1"/>
      <c r="I27" s="1"/>
    </row>
    <row r="28" spans="1:9" x14ac:dyDescent="0.25">
      <c r="A28" s="1"/>
      <c r="B28" s="1"/>
      <c r="C28" s="6" t="s">
        <v>15</v>
      </c>
      <c r="D28" s="103" t="s">
        <v>86</v>
      </c>
      <c r="E28" s="104"/>
      <c r="F28" s="104"/>
      <c r="G28" s="105"/>
      <c r="H28" s="1"/>
      <c r="I28" s="1"/>
    </row>
    <row r="29" spans="1:9" x14ac:dyDescent="0.25">
      <c r="A29" s="1"/>
      <c r="B29" s="1"/>
      <c r="C29" s="6" t="s">
        <v>37</v>
      </c>
      <c r="D29" s="103" t="s">
        <v>134</v>
      </c>
      <c r="E29" s="104"/>
      <c r="F29" s="104"/>
      <c r="G29" s="105"/>
      <c r="H29" s="1"/>
      <c r="I29" s="1"/>
    </row>
    <row r="30" spans="1:9" x14ac:dyDescent="0.25">
      <c r="A30" s="1"/>
      <c r="B30" s="1"/>
      <c r="C30" s="6" t="s">
        <v>38</v>
      </c>
      <c r="D30" s="103" t="s">
        <v>36</v>
      </c>
      <c r="E30" s="104"/>
      <c r="F30" s="104"/>
      <c r="G30" s="105"/>
      <c r="H30" s="1"/>
      <c r="I30" s="1"/>
    </row>
    <row r="31" spans="1:9" x14ac:dyDescent="0.25">
      <c r="A31" s="1"/>
      <c r="B31" s="1"/>
      <c r="C31" s="6" t="s">
        <v>251</v>
      </c>
      <c r="D31" s="114" t="s">
        <v>105</v>
      </c>
      <c r="E31" s="115"/>
      <c r="F31" s="115"/>
      <c r="G31" s="116"/>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gqg1uKM28yjIT29H1dHt6OPv9he6wn6btjRPmYoLzZPf7YbuURS9CK+F03IJiWcV5lEBOXtkY7tO8r1CEbpcuw==" saltValue="T7in1d1IneXDGmJ24x84R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111</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5" t="s">
        <v>200</v>
      </c>
      <c r="C8" s="126"/>
      <c r="D8" s="127"/>
      <c r="E8" s="1"/>
      <c r="F8" s="1"/>
    </row>
    <row r="9" spans="1:6" ht="15" customHeight="1" x14ac:dyDescent="0.25">
      <c r="A9" s="1"/>
      <c r="B9" s="26" t="s">
        <v>32</v>
      </c>
      <c r="C9" s="54" t="s">
        <v>242</v>
      </c>
      <c r="D9" s="11"/>
      <c r="E9" s="1"/>
      <c r="F9" s="1"/>
    </row>
    <row r="10" spans="1:6" x14ac:dyDescent="0.25">
      <c r="A10" s="1"/>
      <c r="B10" s="91" t="s">
        <v>268</v>
      </c>
      <c r="C10" s="9">
        <v>102179</v>
      </c>
      <c r="D10" s="14" t="s">
        <v>3</v>
      </c>
      <c r="E10" s="1"/>
      <c r="F10" s="1"/>
    </row>
    <row r="11" spans="1:6" x14ac:dyDescent="0.25">
      <c r="A11" s="1"/>
      <c r="B11" s="91" t="s">
        <v>269</v>
      </c>
      <c r="C11" s="9">
        <v>196474</v>
      </c>
      <c r="D11" s="14" t="s">
        <v>3</v>
      </c>
      <c r="E11" s="1"/>
      <c r="F11" s="1"/>
    </row>
    <row r="12" spans="1:6" x14ac:dyDescent="0.25">
      <c r="A12" s="1"/>
      <c r="B12" s="91" t="s">
        <v>270</v>
      </c>
      <c r="C12" s="9">
        <v>70457</v>
      </c>
      <c r="D12" s="14" t="s">
        <v>3</v>
      </c>
      <c r="E12" s="1"/>
      <c r="F12" s="1"/>
    </row>
    <row r="13" spans="1:6" x14ac:dyDescent="0.25">
      <c r="A13" s="1"/>
      <c r="B13" s="32" t="s">
        <v>201</v>
      </c>
      <c r="C13" s="12">
        <f>SUM(C10:C12)</f>
        <v>369110</v>
      </c>
      <c r="D13" s="13" t="s">
        <v>3</v>
      </c>
      <c r="E13" s="1"/>
      <c r="F13" s="1"/>
    </row>
    <row r="14" spans="1:6" x14ac:dyDescent="0.25">
      <c r="A14" s="1"/>
      <c r="B14" s="32" t="s">
        <v>202</v>
      </c>
      <c r="C14" s="12">
        <f>C13*(1+'Fane 15. Nøgletal'!C15)^2</f>
        <v>395858.4272496</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25" t="s">
        <v>117</v>
      </c>
      <c r="C17" s="126"/>
      <c r="D17" s="127"/>
      <c r="E17" s="1"/>
      <c r="F17" s="1"/>
    </row>
    <row r="18" spans="1:6" x14ac:dyDescent="0.25">
      <c r="A18" s="1"/>
      <c r="B18" s="91" t="s">
        <v>99</v>
      </c>
      <c r="C18" s="9">
        <v>0</v>
      </c>
      <c r="D18" s="14" t="s">
        <v>3</v>
      </c>
      <c r="E18" s="1"/>
      <c r="F18" s="1"/>
    </row>
    <row r="19" spans="1:6" x14ac:dyDescent="0.25">
      <c r="A19" s="1"/>
      <c r="B19" s="91" t="s">
        <v>129</v>
      </c>
      <c r="C19" s="9">
        <v>0</v>
      </c>
      <c r="D19" s="14" t="s">
        <v>3</v>
      </c>
      <c r="E19" s="1"/>
      <c r="F19" s="1"/>
    </row>
    <row r="20" spans="1:6" x14ac:dyDescent="0.25">
      <c r="A20" s="1"/>
      <c r="B20" s="91" t="s">
        <v>155</v>
      </c>
      <c r="C20" s="9">
        <v>0</v>
      </c>
      <c r="D20" s="14" t="s">
        <v>3</v>
      </c>
      <c r="E20" s="1"/>
      <c r="F20" s="1"/>
    </row>
    <row r="21" spans="1:6" x14ac:dyDescent="0.25">
      <c r="A21" s="1"/>
      <c r="B21" s="33" t="s">
        <v>203</v>
      </c>
      <c r="C21" s="9">
        <v>0</v>
      </c>
      <c r="D21" s="40" t="s">
        <v>3</v>
      </c>
      <c r="E21" s="1"/>
      <c r="F21" s="1"/>
    </row>
    <row r="22" spans="1:6" x14ac:dyDescent="0.25">
      <c r="A22" s="1"/>
      <c r="B22" s="125"/>
      <c r="C22" s="126"/>
      <c r="D22" s="127"/>
      <c r="E22" s="1"/>
      <c r="F22" s="1"/>
    </row>
    <row r="23" spans="1:6" x14ac:dyDescent="0.25">
      <c r="A23" s="1"/>
      <c r="B23" s="1"/>
      <c r="C23" s="1"/>
      <c r="D23" s="1"/>
      <c r="E23" s="1"/>
      <c r="F23" s="1"/>
    </row>
    <row r="24" spans="1:6" x14ac:dyDescent="0.25">
      <c r="A24" s="1"/>
      <c r="B24" s="1"/>
      <c r="C24" s="1"/>
      <c r="D24" s="1"/>
      <c r="E24" s="1"/>
      <c r="F24" s="1"/>
    </row>
    <row r="25" spans="1:6" x14ac:dyDescent="0.25">
      <c r="A25" s="1"/>
      <c r="B25" s="125" t="s">
        <v>98</v>
      </c>
      <c r="C25" s="126"/>
      <c r="D25" s="127"/>
      <c r="E25" s="1"/>
      <c r="F25" s="1"/>
    </row>
    <row r="26" spans="1:6" x14ac:dyDescent="0.25">
      <c r="A26" s="1"/>
      <c r="B26" s="91" t="s">
        <v>99</v>
      </c>
      <c r="C26" s="9">
        <v>456821</v>
      </c>
      <c r="D26" s="14" t="s">
        <v>3</v>
      </c>
      <c r="E26" s="1"/>
      <c r="F26" s="1"/>
    </row>
    <row r="27" spans="1:6" x14ac:dyDescent="0.25">
      <c r="A27" s="1"/>
      <c r="B27" s="91" t="s">
        <v>129</v>
      </c>
      <c r="C27" s="9">
        <v>0</v>
      </c>
      <c r="D27" s="14" t="s">
        <v>3</v>
      </c>
      <c r="E27" s="1"/>
      <c r="F27" s="1"/>
    </row>
    <row r="28" spans="1:6" x14ac:dyDescent="0.25">
      <c r="A28" s="1"/>
      <c r="B28" s="91" t="s">
        <v>155</v>
      </c>
      <c r="C28" s="9">
        <v>0</v>
      </c>
      <c r="D28" s="14" t="s">
        <v>3</v>
      </c>
      <c r="E28" s="1"/>
      <c r="F28" s="1"/>
    </row>
    <row r="29" spans="1:6" x14ac:dyDescent="0.25">
      <c r="A29" s="1"/>
      <c r="B29" s="33" t="s">
        <v>203</v>
      </c>
      <c r="C29" s="9">
        <v>0</v>
      </c>
      <c r="D29" s="40" t="s">
        <v>3</v>
      </c>
      <c r="E29" s="1"/>
      <c r="F29" s="1"/>
    </row>
    <row r="30" spans="1:6" x14ac:dyDescent="0.25">
      <c r="A30" s="1"/>
      <c r="B30" s="125"/>
      <c r="C30" s="126"/>
      <c r="D30" s="127"/>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48"/>
      <c r="B47" s="48"/>
      <c r="C47" s="48"/>
      <c r="D47" s="48"/>
      <c r="E47" s="48"/>
      <c r="F47" s="48"/>
    </row>
    <row r="48" spans="1:6" x14ac:dyDescent="0.25">
      <c r="A48" s="48"/>
      <c r="B48" s="48"/>
      <c r="C48" s="48"/>
      <c r="D48" s="48"/>
      <c r="E48" s="48"/>
      <c r="F48" s="48"/>
    </row>
    <row r="49" spans="1:6" x14ac:dyDescent="0.25">
      <c r="A49" s="48"/>
      <c r="B49" s="48"/>
      <c r="C49" s="48"/>
      <c r="D49" s="48"/>
      <c r="E49" s="48"/>
      <c r="F49" s="48"/>
    </row>
    <row r="50" spans="1:6" x14ac:dyDescent="0.25">
      <c r="A50" s="48"/>
      <c r="B50" s="48"/>
      <c r="C50" s="48"/>
      <c r="D50" s="48"/>
      <c r="E50" s="48"/>
      <c r="F50" s="48"/>
    </row>
  </sheetData>
  <sheetProtection algorithmName="SHA-512" hashValue="+2xF6at52bzRNJbVMTKgoWNNSzaGdfzD4nM+o8iag5zISSUd0IMid+PolfBJosiF3np5/rPANKHU1bU6CfIY5w==" saltValue="RIPoFECYfL5KZJMpqB2HDw=="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3" t="s">
        <v>204</v>
      </c>
      <c r="C3" s="133"/>
      <c r="D3" s="133"/>
      <c r="E3" s="133"/>
      <c r="F3" s="133"/>
      <c r="G3" s="1"/>
    </row>
    <row r="4" spans="1:7" ht="15" customHeight="1" x14ac:dyDescent="0.25">
      <c r="A4" s="1"/>
      <c r="B4" s="133"/>
      <c r="C4" s="133"/>
      <c r="D4" s="133"/>
      <c r="E4" s="133"/>
      <c r="F4" s="133"/>
      <c r="G4" s="1"/>
    </row>
    <row r="5" spans="1:7" ht="15" customHeight="1" x14ac:dyDescent="0.25">
      <c r="A5" s="1"/>
      <c r="B5" s="87"/>
      <c r="C5" s="87"/>
      <c r="D5" s="87"/>
      <c r="E5" s="87"/>
      <c r="F5" s="87"/>
      <c r="G5" s="1"/>
    </row>
    <row r="6" spans="1:7" ht="15" customHeight="1" x14ac:dyDescent="0.25">
      <c r="A6" s="1"/>
      <c r="B6" s="87"/>
      <c r="C6" s="87"/>
      <c r="D6" s="87"/>
      <c r="E6" s="87"/>
      <c r="F6" s="87"/>
      <c r="G6" s="1"/>
    </row>
    <row r="7" spans="1:7" x14ac:dyDescent="0.25">
      <c r="A7" s="1"/>
      <c r="B7" s="1"/>
      <c r="C7" s="1"/>
      <c r="D7" s="1"/>
      <c r="E7" s="1"/>
      <c r="F7" s="1"/>
      <c r="G7" s="1"/>
    </row>
    <row r="8" spans="1:7" x14ac:dyDescent="0.25">
      <c r="A8" s="1"/>
      <c r="B8" s="125" t="s">
        <v>178</v>
      </c>
      <c r="C8" s="126"/>
      <c r="D8" s="126"/>
      <c r="E8" s="126"/>
      <c r="F8" s="127"/>
      <c r="G8" s="1"/>
    </row>
    <row r="9" spans="1:7" x14ac:dyDescent="0.25">
      <c r="A9" s="1"/>
      <c r="B9" s="135" t="s">
        <v>205</v>
      </c>
      <c r="C9" s="136"/>
      <c r="D9" s="137"/>
      <c r="E9" s="9">
        <v>22166458.289024703</v>
      </c>
      <c r="F9" s="14" t="s">
        <v>3</v>
      </c>
      <c r="G9" s="1"/>
    </row>
    <row r="10" spans="1:7" x14ac:dyDescent="0.25">
      <c r="A10" s="1"/>
      <c r="B10" s="135" t="s">
        <v>265</v>
      </c>
      <c r="C10" s="136"/>
      <c r="D10" s="137"/>
      <c r="E10" s="9">
        <v>22166458.289024703</v>
      </c>
      <c r="F10" s="14" t="s">
        <v>3</v>
      </c>
      <c r="G10" s="1"/>
    </row>
    <row r="11" spans="1:7" x14ac:dyDescent="0.25">
      <c r="A11" s="1"/>
      <c r="B11" s="32"/>
      <c r="C11" s="27"/>
      <c r="D11" s="27"/>
      <c r="E11" s="27"/>
      <c r="F11" s="19"/>
      <c r="G11" s="1"/>
    </row>
    <row r="12" spans="1:7" ht="67.5" customHeight="1" x14ac:dyDescent="0.25">
      <c r="A12" s="1"/>
      <c r="B12" s="128" t="s">
        <v>266</v>
      </c>
      <c r="C12" s="129"/>
      <c r="D12" s="129"/>
      <c r="E12" s="129"/>
      <c r="F12" s="130"/>
      <c r="G12" s="1"/>
    </row>
    <row r="13" spans="1:7" ht="27" customHeight="1" x14ac:dyDescent="0.25">
      <c r="A13" s="1"/>
      <c r="B13" s="1"/>
      <c r="C13" s="1"/>
      <c r="D13" s="1"/>
      <c r="E13" s="1"/>
      <c r="F13" s="1"/>
      <c r="G13" s="1"/>
    </row>
    <row r="14" spans="1:7" ht="28.5" customHeight="1" x14ac:dyDescent="0.25">
      <c r="A14" s="1"/>
      <c r="B14" s="125" t="s">
        <v>179</v>
      </c>
      <c r="C14" s="126"/>
      <c r="D14" s="126"/>
      <c r="E14" s="126"/>
      <c r="F14" s="127"/>
      <c r="G14" s="1"/>
    </row>
    <row r="15" spans="1:7" x14ac:dyDescent="0.25">
      <c r="A15" s="1"/>
      <c r="B15" s="135" t="s">
        <v>284</v>
      </c>
      <c r="C15" s="136"/>
      <c r="D15" s="137"/>
      <c r="E15" s="9">
        <v>0</v>
      </c>
      <c r="F15" s="14" t="s">
        <v>3</v>
      </c>
      <c r="G15" s="1"/>
    </row>
    <row r="16" spans="1:7" x14ac:dyDescent="0.25">
      <c r="A16" s="1"/>
      <c r="B16" s="135" t="s">
        <v>285</v>
      </c>
      <c r="C16" s="136"/>
      <c r="D16" s="137"/>
      <c r="E16" s="9">
        <v>0</v>
      </c>
      <c r="F16" s="14" t="s">
        <v>3</v>
      </c>
      <c r="G16" s="1"/>
    </row>
    <row r="17" spans="1:7" x14ac:dyDescent="0.25">
      <c r="A17" s="1"/>
      <c r="B17" s="32"/>
      <c r="C17" s="27"/>
      <c r="D17" s="27"/>
      <c r="E17" s="27"/>
      <c r="F17" s="19"/>
      <c r="G17" s="1"/>
    </row>
    <row r="18" spans="1:7" ht="31.5" customHeight="1" x14ac:dyDescent="0.25">
      <c r="A18" s="1"/>
      <c r="B18" s="128" t="s">
        <v>180</v>
      </c>
      <c r="C18" s="129"/>
      <c r="D18" s="129"/>
      <c r="E18" s="129"/>
      <c r="F18" s="130"/>
      <c r="G18" s="1"/>
    </row>
    <row r="19" spans="1:7" ht="28.5" customHeight="1" x14ac:dyDescent="0.25">
      <c r="A19" s="1"/>
      <c r="B19" s="1"/>
      <c r="C19" s="1"/>
      <c r="D19" s="1"/>
      <c r="E19" s="1"/>
      <c r="F19" s="1"/>
      <c r="G19" s="1"/>
    </row>
    <row r="20" spans="1:7" ht="28.5" customHeight="1" x14ac:dyDescent="0.25">
      <c r="A20" s="1"/>
      <c r="B20" s="82" t="s">
        <v>206</v>
      </c>
      <c r="C20" s="83"/>
      <c r="D20" s="83"/>
      <c r="E20" s="83"/>
      <c r="F20" s="84"/>
      <c r="G20" s="1"/>
    </row>
    <row r="21" spans="1:7" x14ac:dyDescent="0.25">
      <c r="A21" s="1"/>
      <c r="B21" s="88" t="s">
        <v>207</v>
      </c>
      <c r="C21" s="89"/>
      <c r="D21" s="90"/>
      <c r="E21" s="9">
        <v>67048030.545641653</v>
      </c>
      <c r="F21" s="14" t="s">
        <v>3</v>
      </c>
      <c r="G21" s="1"/>
    </row>
    <row r="22" spans="1:7" x14ac:dyDescent="0.25">
      <c r="A22" s="1"/>
      <c r="B22" s="88" t="s">
        <v>208</v>
      </c>
      <c r="C22" s="89"/>
      <c r="D22" s="90"/>
      <c r="E22" s="9">
        <v>56610540</v>
      </c>
      <c r="F22" s="14" t="s">
        <v>3</v>
      </c>
      <c r="G22" s="1"/>
    </row>
    <row r="23" spans="1:7" x14ac:dyDescent="0.25">
      <c r="A23" s="1"/>
      <c r="B23" s="88" t="s">
        <v>33</v>
      </c>
      <c r="C23" s="89"/>
      <c r="D23" s="90"/>
      <c r="E23" s="9">
        <v>0</v>
      </c>
      <c r="F23" s="14" t="s">
        <v>3</v>
      </c>
      <c r="G23" s="1"/>
    </row>
    <row r="24" spans="1:7" x14ac:dyDescent="0.25">
      <c r="A24" s="1"/>
      <c r="B24" s="85" t="s">
        <v>272</v>
      </c>
      <c r="C24" s="86"/>
      <c r="D24" s="94"/>
      <c r="E24" s="68">
        <f>E21-(E22-E23)</f>
        <v>10437490.545641653</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5" t="s">
        <v>286</v>
      </c>
      <c r="C27" s="126"/>
      <c r="D27" s="126"/>
      <c r="E27" s="126"/>
      <c r="F27" s="127"/>
      <c r="G27" s="1"/>
    </row>
    <row r="28" spans="1:7" x14ac:dyDescent="0.25">
      <c r="A28" s="1"/>
      <c r="B28" s="131" t="s">
        <v>287</v>
      </c>
      <c r="C28" s="132"/>
      <c r="D28" s="153"/>
      <c r="E28" s="69">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5"/>
      <c r="C29" s="126"/>
      <c r="D29" s="126"/>
      <c r="E29" s="126"/>
      <c r="F29" s="127"/>
      <c r="G29" s="1"/>
    </row>
    <row r="30" spans="1:7" x14ac:dyDescent="0.25">
      <c r="A30" s="1"/>
      <c r="B30" s="1"/>
      <c r="C30" s="1"/>
      <c r="D30" s="1"/>
      <c r="E30" s="1"/>
      <c r="F30" s="1"/>
      <c r="G30" s="1"/>
    </row>
    <row r="31" spans="1:7" ht="28.5" customHeight="1" x14ac:dyDescent="0.25">
      <c r="A31" s="1"/>
      <c r="B31" s="125" t="s">
        <v>267</v>
      </c>
      <c r="C31" s="126"/>
      <c r="D31" s="126"/>
      <c r="E31" s="126"/>
      <c r="F31" s="127"/>
      <c r="G31" s="1"/>
    </row>
    <row r="32" spans="1:7" x14ac:dyDescent="0.25">
      <c r="A32" s="1"/>
      <c r="B32" s="154" t="s">
        <v>143</v>
      </c>
      <c r="C32" s="155"/>
      <c r="D32" s="156"/>
      <c r="E32" s="70">
        <f>IF(AND(E9&gt;0,(E9+E24)&gt;0),0,IF(AND(E9&gt;0,(E9+E24)&lt;0),(E9+E24),IF(AND(E9&lt;0,E24&lt;0),E24,0)))</f>
        <v>0</v>
      </c>
      <c r="F32" s="14" t="s">
        <v>3</v>
      </c>
      <c r="G32" s="1"/>
    </row>
    <row r="33" spans="1:7" x14ac:dyDescent="0.25">
      <c r="A33" s="1"/>
      <c r="B33" s="154" t="s">
        <v>102</v>
      </c>
      <c r="C33" s="155"/>
      <c r="D33" s="156"/>
      <c r="E33" s="9">
        <v>4</v>
      </c>
      <c r="F33" s="14" t="s">
        <v>20</v>
      </c>
      <c r="G33" s="1"/>
    </row>
    <row r="34" spans="1:7" x14ac:dyDescent="0.25">
      <c r="A34" s="1"/>
      <c r="B34" s="152" t="s">
        <v>144</v>
      </c>
      <c r="C34" s="152"/>
      <c r="D34" s="152"/>
      <c r="E34" s="69">
        <f>E32/E33</f>
        <v>0</v>
      </c>
      <c r="F34" s="17" t="s">
        <v>3</v>
      </c>
      <c r="G34" s="1"/>
    </row>
    <row r="35" spans="1:7" x14ac:dyDescent="0.25">
      <c r="A35" s="1"/>
      <c r="B35" s="149"/>
      <c r="C35" s="150"/>
      <c r="D35" s="150"/>
      <c r="E35" s="150"/>
      <c r="F35" s="15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48"/>
      <c r="C41" s="48"/>
      <c r="D41" s="48"/>
      <c r="E41" s="48"/>
      <c r="F41" s="48"/>
    </row>
    <row r="42" spans="1:7" x14ac:dyDescent="0.25">
      <c r="A42" s="48"/>
      <c r="B42" s="48"/>
      <c r="C42" s="48"/>
      <c r="D42" s="48"/>
      <c r="E42" s="48"/>
      <c r="F42" s="48"/>
      <c r="G42" s="48"/>
    </row>
    <row r="43" spans="1:7" x14ac:dyDescent="0.25">
      <c r="A43" s="48"/>
      <c r="B43" s="48"/>
      <c r="C43" s="48"/>
      <c r="D43" s="48"/>
      <c r="E43" s="48"/>
      <c r="F43" s="48"/>
      <c r="G43" s="48"/>
    </row>
  </sheetData>
  <sheetProtection algorithmName="SHA-512" hashValue="rtNe1OLnyevr2EmJ1+ETlsXcO+ZST9M0AHaHayb+AKprdVDOE7eImfrp3X2TM7lHE2LZq7uNPmUdsGtmfZwOXA==" saltValue="n8bWE8cbmjkM/xMI8De2SQ=="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5" customWidth="1"/>
    <col min="2" max="2" width="22.5703125" style="65" customWidth="1"/>
    <col min="3" max="3" width="8.28515625" style="65" customWidth="1"/>
    <col min="4" max="6" width="10.7109375" style="65" customWidth="1"/>
    <col min="7" max="7" width="11.140625" style="65" customWidth="1"/>
    <col min="8" max="8" width="3.28515625" style="65" customWidth="1"/>
    <col min="9" max="9" width="4.85546875" style="65" customWidth="1"/>
    <col min="10" max="16384" width="9.140625" style="65"/>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5" t="s">
        <v>264</v>
      </c>
      <c r="C8" s="126"/>
      <c r="D8" s="126"/>
      <c r="E8" s="126"/>
      <c r="F8" s="126"/>
      <c r="G8" s="126"/>
      <c r="H8" s="127"/>
      <c r="I8" s="1"/>
    </row>
    <row r="9" spans="1:9" ht="15" customHeight="1" x14ac:dyDescent="0.25">
      <c r="A9" s="1"/>
      <c r="B9" s="122" t="s">
        <v>253</v>
      </c>
      <c r="C9" s="123"/>
      <c r="D9" s="123"/>
      <c r="E9" s="123"/>
      <c r="F9" s="123"/>
      <c r="G9" s="123"/>
      <c r="H9" s="124"/>
      <c r="I9" s="1"/>
    </row>
    <row r="10" spans="1:9" x14ac:dyDescent="0.25">
      <c r="A10" s="1"/>
      <c r="B10" s="157" t="s">
        <v>275</v>
      </c>
      <c r="C10" s="158"/>
      <c r="D10" s="158"/>
      <c r="E10" s="158"/>
      <c r="F10" s="159"/>
      <c r="G10" s="9">
        <v>0</v>
      </c>
      <c r="H10" s="9" t="s">
        <v>3</v>
      </c>
      <c r="I10" s="1"/>
    </row>
    <row r="11" spans="1:9" x14ac:dyDescent="0.25">
      <c r="A11" s="1"/>
      <c r="B11" s="157" t="s">
        <v>276</v>
      </c>
      <c r="C11" s="158"/>
      <c r="D11" s="158"/>
      <c r="E11" s="158"/>
      <c r="F11" s="159"/>
      <c r="G11" s="9">
        <v>0</v>
      </c>
      <c r="H11" s="9" t="s">
        <v>3</v>
      </c>
      <c r="I11" s="1"/>
    </row>
    <row r="12" spans="1:9" x14ac:dyDescent="0.25">
      <c r="A12" s="1"/>
      <c r="B12" s="157" t="s">
        <v>277</v>
      </c>
      <c r="C12" s="158"/>
      <c r="D12" s="158"/>
      <c r="E12" s="158"/>
      <c r="F12" s="159"/>
      <c r="G12" s="9">
        <v>0</v>
      </c>
      <c r="H12" s="9" t="s">
        <v>3</v>
      </c>
      <c r="I12" s="1"/>
    </row>
    <row r="13" spans="1:9" x14ac:dyDescent="0.25">
      <c r="A13" s="1"/>
      <c r="B13" s="157" t="s">
        <v>278</v>
      </c>
      <c r="C13" s="158"/>
      <c r="D13" s="158"/>
      <c r="E13" s="158"/>
      <c r="F13" s="159"/>
      <c r="G13" s="9">
        <v>0</v>
      </c>
      <c r="H13" s="9" t="s">
        <v>3</v>
      </c>
      <c r="I13" s="1"/>
    </row>
    <row r="14" spans="1:9" x14ac:dyDescent="0.25">
      <c r="A14" s="1"/>
      <c r="B14" s="157" t="s">
        <v>279</v>
      </c>
      <c r="C14" s="158"/>
      <c r="D14" s="158"/>
      <c r="E14" s="158"/>
      <c r="F14" s="159"/>
      <c r="G14" s="9">
        <v>0</v>
      </c>
      <c r="H14" s="9" t="s">
        <v>3</v>
      </c>
      <c r="I14" s="1"/>
    </row>
    <row r="15" spans="1:9" x14ac:dyDescent="0.25">
      <c r="A15" s="1"/>
      <c r="B15" s="157" t="s">
        <v>280</v>
      </c>
      <c r="C15" s="158"/>
      <c r="D15" s="158"/>
      <c r="E15" s="158"/>
      <c r="F15" s="159"/>
      <c r="G15" s="9">
        <v>0</v>
      </c>
      <c r="H15" s="9" t="s">
        <v>3</v>
      </c>
      <c r="I15" s="1"/>
    </row>
    <row r="16" spans="1:9" x14ac:dyDescent="0.25">
      <c r="A16" s="1"/>
      <c r="B16" s="157" t="s">
        <v>281</v>
      </c>
      <c r="C16" s="158"/>
      <c r="D16" s="158"/>
      <c r="E16" s="158"/>
      <c r="F16" s="159"/>
      <c r="G16" s="9">
        <v>0</v>
      </c>
      <c r="H16" s="9" t="s">
        <v>3</v>
      </c>
      <c r="I16" s="1"/>
    </row>
    <row r="17" spans="1:9" x14ac:dyDescent="0.25">
      <c r="A17" s="1"/>
      <c r="B17" s="157" t="s">
        <v>282</v>
      </c>
      <c r="C17" s="158"/>
      <c r="D17" s="158"/>
      <c r="E17" s="158"/>
      <c r="F17" s="159"/>
      <c r="G17" s="9">
        <v>0</v>
      </c>
      <c r="H17" s="9" t="s">
        <v>3</v>
      </c>
      <c r="I17" s="1"/>
    </row>
    <row r="18" spans="1:9" x14ac:dyDescent="0.25">
      <c r="A18" s="1"/>
      <c r="B18" s="125" t="s">
        <v>254</v>
      </c>
      <c r="C18" s="126"/>
      <c r="D18" s="126"/>
      <c r="E18" s="126"/>
      <c r="F18" s="12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fELbBKTOEOTo+i50S34TU3Cu5blMNe8RjNm4/3kXRsg1i2RVtKeJ9bkSMw+WjybJ/jma2rDrxceMrHPMvCO3kw==" saltValue="J4uJdjOmT4qYDv1Wfhvj8g=="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3" t="s">
        <v>256</v>
      </c>
      <c r="C3" s="133"/>
      <c r="D3" s="133"/>
      <c r="E3" s="133"/>
      <c r="F3" s="133"/>
      <c r="G3" s="1"/>
    </row>
    <row r="4" spans="1:7" ht="1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5" t="s">
        <v>209</v>
      </c>
      <c r="C9" s="126"/>
      <c r="D9" s="126"/>
      <c r="E9" s="126"/>
      <c r="F9" s="127"/>
      <c r="G9" s="1"/>
    </row>
    <row r="10" spans="1:7" x14ac:dyDescent="0.25">
      <c r="A10" s="1"/>
      <c r="B10" s="128" t="s">
        <v>100</v>
      </c>
      <c r="C10" s="129"/>
      <c r="D10" s="130"/>
      <c r="E10" s="7">
        <v>0</v>
      </c>
      <c r="F10" s="8" t="s">
        <v>3</v>
      </c>
      <c r="G10" s="1"/>
    </row>
    <row r="11" spans="1:7" x14ac:dyDescent="0.25">
      <c r="A11" s="1"/>
      <c r="B11" s="135" t="s">
        <v>210</v>
      </c>
      <c r="C11" s="136"/>
      <c r="D11" s="137"/>
      <c r="E11" s="7">
        <v>0</v>
      </c>
      <c r="F11" s="8" t="s">
        <v>3</v>
      </c>
      <c r="G11" s="1"/>
    </row>
    <row r="12" spans="1:7" x14ac:dyDescent="0.25">
      <c r="A12" s="1"/>
      <c r="B12" s="131" t="s">
        <v>101</v>
      </c>
      <c r="C12" s="132"/>
      <c r="D12" s="153"/>
      <c r="E12" s="10">
        <f>E11-E10</f>
        <v>0</v>
      </c>
      <c r="F12" s="11" t="s">
        <v>3</v>
      </c>
      <c r="G12" s="1"/>
    </row>
    <row r="13" spans="1:7" x14ac:dyDescent="0.25">
      <c r="A13" s="1"/>
      <c r="B13" s="125" t="s">
        <v>94</v>
      </c>
      <c r="C13" s="126"/>
      <c r="D13" s="126"/>
      <c r="E13" s="126"/>
      <c r="F13" s="127"/>
      <c r="G13" s="1"/>
    </row>
    <row r="14" spans="1:7" x14ac:dyDescent="0.25">
      <c r="A14" s="1"/>
      <c r="B14" s="135" t="s">
        <v>211</v>
      </c>
      <c r="C14" s="136"/>
      <c r="D14" s="137"/>
      <c r="E14" s="9">
        <v>0</v>
      </c>
      <c r="F14" s="8" t="s">
        <v>3</v>
      </c>
      <c r="G14" s="1"/>
    </row>
    <row r="15" spans="1:7" x14ac:dyDescent="0.25">
      <c r="A15" s="1"/>
      <c r="B15" s="128" t="s">
        <v>212</v>
      </c>
      <c r="C15" s="129"/>
      <c r="D15" s="130"/>
      <c r="E15" s="9">
        <v>0</v>
      </c>
      <c r="F15" s="8" t="s">
        <v>3</v>
      </c>
      <c r="G15" s="1"/>
    </row>
    <row r="16" spans="1:7" x14ac:dyDescent="0.25">
      <c r="A16" s="1"/>
      <c r="B16" s="131" t="s">
        <v>101</v>
      </c>
      <c r="C16" s="132"/>
      <c r="D16" s="153"/>
      <c r="E16" s="10">
        <f>E15-E14</f>
        <v>0</v>
      </c>
      <c r="F16" s="11" t="s">
        <v>3</v>
      </c>
      <c r="G16" s="1"/>
    </row>
    <row r="17" spans="1:7" x14ac:dyDescent="0.25">
      <c r="A17" s="1"/>
      <c r="B17" s="32" t="s">
        <v>213</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OpkqEFkODYXsg/vTVAX/MWN/Ch96ABJKWfN+vGgx/t6G6Kq/esWrr4UtJ8khVwG72l0W7XSqfGfv2x2Lz3uGA==" saltValue="3mQ/Ak3CaG04882Dc3Q0b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5" t="s">
        <v>221</v>
      </c>
      <c r="C8" s="126"/>
      <c r="D8" s="126"/>
      <c r="E8" s="126"/>
      <c r="F8" s="126"/>
      <c r="G8" s="126"/>
      <c r="H8" s="126"/>
      <c r="I8" s="126"/>
      <c r="J8" s="126"/>
      <c r="K8" s="127"/>
      <c r="L8" s="1"/>
    </row>
    <row r="9" spans="1:12" ht="39.75" customHeight="1" x14ac:dyDescent="0.25">
      <c r="A9" s="1"/>
      <c r="B9" s="18" t="s">
        <v>0</v>
      </c>
      <c r="C9" s="18" t="s">
        <v>1</v>
      </c>
      <c r="D9" s="160" t="s">
        <v>247</v>
      </c>
      <c r="E9" s="161"/>
      <c r="F9" s="160" t="s">
        <v>2</v>
      </c>
      <c r="G9" s="161"/>
      <c r="H9" s="160" t="s">
        <v>246</v>
      </c>
      <c r="I9" s="161"/>
      <c r="J9" s="160" t="s">
        <v>30</v>
      </c>
      <c r="K9" s="161"/>
      <c r="L9" s="1"/>
    </row>
    <row r="10" spans="1:12" x14ac:dyDescent="0.25">
      <c r="A10" s="1"/>
      <c r="B10" s="95" t="s">
        <v>271</v>
      </c>
      <c r="C10" s="41">
        <v>0</v>
      </c>
      <c r="D10" s="9">
        <v>0</v>
      </c>
      <c r="E10" s="14" t="s">
        <v>3</v>
      </c>
      <c r="F10" s="9">
        <f>IFERROR(D10/C10,0)</f>
        <v>0</v>
      </c>
      <c r="G10" s="14" t="s">
        <v>3</v>
      </c>
      <c r="H10" s="44">
        <v>0</v>
      </c>
      <c r="I10" s="14" t="s">
        <v>3</v>
      </c>
      <c r="J10" s="44">
        <v>0</v>
      </c>
      <c r="K10" s="14" t="s">
        <v>3</v>
      </c>
      <c r="L10" s="1"/>
    </row>
    <row r="11" spans="1:12" x14ac:dyDescent="0.25">
      <c r="A11" s="1"/>
      <c r="B11" s="82" t="s">
        <v>222</v>
      </c>
      <c r="C11" s="83"/>
      <c r="D11" s="84"/>
      <c r="E11" s="84"/>
      <c r="F11" s="12">
        <f>SUM(F10:F10)</f>
        <v>0</v>
      </c>
      <c r="G11" s="12" t="s">
        <v>245</v>
      </c>
      <c r="H11" s="12">
        <f>SUM(H10:H10)</f>
        <v>0</v>
      </c>
      <c r="I11" s="12" t="s">
        <v>245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FVVV670jRa9RWJiehMYihdJLQ0wVCGarQtQivG+Yucp1890nW9RqFts7qxbZRnpy7qGDZEN8DqUJ7kZsDbneTw==" saltValue="Aj96NUebbICIVP8JS6PF0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0" t="s">
        <v>17</v>
      </c>
      <c r="C9" s="80" t="s">
        <v>11</v>
      </c>
      <c r="D9" s="81"/>
      <c r="E9" s="80" t="s">
        <v>31</v>
      </c>
      <c r="F9" s="31"/>
      <c r="G9" s="1"/>
    </row>
    <row r="10" spans="1:7" x14ac:dyDescent="0.25">
      <c r="A10" s="1"/>
      <c r="B10" s="23" t="s">
        <v>228</v>
      </c>
      <c r="C10" s="21">
        <f>'Fane 10. Anlægsprojekter (§ 19)'!H11</f>
        <v>0</v>
      </c>
      <c r="D10" s="14" t="s">
        <v>3</v>
      </c>
      <c r="E10" s="9">
        <f>SUM('Fane 10. Anlægsprojekter (§ 19)'!F11,'Fane 10. Anlægsprojekter (§ 19)'!J11)</f>
        <v>0</v>
      </c>
      <c r="F10" s="14" t="s">
        <v>3</v>
      </c>
      <c r="G10" s="1"/>
    </row>
    <row r="11" spans="1:7" x14ac:dyDescent="0.25">
      <c r="A11" s="1"/>
      <c r="B11" s="23" t="s">
        <v>283</v>
      </c>
      <c r="C11" s="21">
        <v>1795177</v>
      </c>
      <c r="D11" s="14" t="s">
        <v>3</v>
      </c>
      <c r="E11" s="9">
        <v>124270</v>
      </c>
      <c r="F11" s="14" t="s">
        <v>3</v>
      </c>
      <c r="G11" s="1"/>
    </row>
    <row r="12" spans="1:7" x14ac:dyDescent="0.25">
      <c r="A12" s="1"/>
      <c r="B12" s="23" t="s">
        <v>274</v>
      </c>
      <c r="C12" s="21">
        <v>35462</v>
      </c>
      <c r="D12" s="14" t="s">
        <v>3</v>
      </c>
      <c r="E12" s="9">
        <v>126250</v>
      </c>
      <c r="F12" s="14" t="s">
        <v>3</v>
      </c>
      <c r="G12" s="1"/>
    </row>
    <row r="13" spans="1:7" x14ac:dyDescent="0.25">
      <c r="A13" s="1"/>
      <c r="B13" s="32" t="s">
        <v>156</v>
      </c>
      <c r="C13" s="12">
        <f>SUM(C10:C12)</f>
        <v>1830639</v>
      </c>
      <c r="D13" s="13" t="s">
        <v>3</v>
      </c>
      <c r="E13" s="12">
        <f>SUM(E10:E12)</f>
        <v>250520</v>
      </c>
      <c r="F13" s="13" t="s">
        <v>3</v>
      </c>
      <c r="G13" s="1"/>
    </row>
    <row r="14" spans="1:7" x14ac:dyDescent="0.25">
      <c r="A14" s="1"/>
      <c r="B14" s="32" t="s">
        <v>214</v>
      </c>
      <c r="C14" s="12">
        <f>C13*(1+'Fane 15. Nøgletal'!C15)</f>
        <v>1895809.7484000002</v>
      </c>
      <c r="D14" s="13" t="s">
        <v>3</v>
      </c>
      <c r="E14" s="12">
        <f>E13*(1+'Fane 15. Nøgletal'!C15)</f>
        <v>259438.51200000002</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3VlyPUSycv+46ThKh8DFH2PRhm1yUiQHHXQiqJoFeetUAai7gPGXh0gmQ652AqvdzfhdgmFeIKjaf8lNIlpzlA==" saltValue="7AtYjszLL+esXwwq45mvf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5" t="s">
        <v>97</v>
      </c>
      <c r="C8" s="126"/>
      <c r="D8" s="126"/>
      <c r="E8" s="126"/>
      <c r="F8" s="127"/>
      <c r="G8" s="1"/>
    </row>
    <row r="9" spans="1:7" x14ac:dyDescent="0.25">
      <c r="A9" s="1"/>
      <c r="B9" s="80" t="s">
        <v>17</v>
      </c>
      <c r="C9" s="80" t="s">
        <v>11</v>
      </c>
      <c r="D9" s="81"/>
      <c r="E9" s="80" t="s">
        <v>31</v>
      </c>
      <c r="F9" s="31"/>
      <c r="G9" s="1"/>
    </row>
    <row r="10" spans="1:7" x14ac:dyDescent="0.25">
      <c r="A10" s="1"/>
      <c r="B10" s="23" t="s">
        <v>283</v>
      </c>
      <c r="C10" s="21">
        <v>54148</v>
      </c>
      <c r="D10" s="14" t="s">
        <v>3</v>
      </c>
      <c r="E10" s="9">
        <v>0</v>
      </c>
      <c r="F10" s="14" t="s">
        <v>3</v>
      </c>
      <c r="G10" s="1"/>
    </row>
    <row r="11" spans="1:7" x14ac:dyDescent="0.25">
      <c r="A11" s="1"/>
      <c r="B11" s="32" t="s">
        <v>234</v>
      </c>
      <c r="C11" s="12">
        <f>SUM(C10:C10)</f>
        <v>54148</v>
      </c>
      <c r="D11" s="13" t="s">
        <v>3</v>
      </c>
      <c r="E11" s="12">
        <f>SUM(E10:E10)</f>
        <v>0</v>
      </c>
      <c r="F11" s="13" t="s">
        <v>3</v>
      </c>
      <c r="G11" s="1"/>
    </row>
    <row r="12" spans="1:7" x14ac:dyDescent="0.25">
      <c r="A12" s="1"/>
      <c r="B12" s="32" t="s">
        <v>136</v>
      </c>
      <c r="C12" s="12">
        <f>C11*(1+'Fane 15. Nøgletal'!C15)^2</f>
        <v>58071.962609280003</v>
      </c>
      <c r="D12" s="13" t="s">
        <v>3</v>
      </c>
      <c r="E12" s="12">
        <f>E11*(1+'Fane 15. Nøgletal'!C15)^2</f>
        <v>0</v>
      </c>
      <c r="F12" s="13" t="s">
        <v>3</v>
      </c>
      <c r="G12" s="1"/>
    </row>
    <row r="13" spans="1:7" x14ac:dyDescent="0.25">
      <c r="A13" s="1"/>
      <c r="B13" s="1"/>
      <c r="C13" s="1"/>
      <c r="D13" s="1"/>
      <c r="E13" s="1"/>
      <c r="F13" s="1"/>
      <c r="G13" s="1"/>
    </row>
    <row r="14" spans="1:7" x14ac:dyDescent="0.25">
      <c r="A14" s="1"/>
      <c r="B14" s="162"/>
      <c r="C14" s="162"/>
      <c r="D14" s="162"/>
      <c r="E14" s="162"/>
      <c r="F14" s="162"/>
      <c r="G14" s="1"/>
    </row>
    <row r="15" spans="1:7" x14ac:dyDescent="0.25">
      <c r="A15" s="1"/>
      <c r="B15" s="56"/>
      <c r="C15" s="56"/>
      <c r="D15" s="56"/>
      <c r="E15" s="56"/>
      <c r="F15" s="57"/>
      <c r="G15" s="1"/>
    </row>
    <row r="16" spans="1:7" x14ac:dyDescent="0.25">
      <c r="A16" s="1"/>
      <c r="B16" s="58"/>
      <c r="C16" s="59"/>
      <c r="D16" s="60"/>
      <c r="E16" s="61"/>
      <c r="F16" s="60"/>
      <c r="G16" s="1"/>
    </row>
    <row r="17" spans="1:7" x14ac:dyDescent="0.25">
      <c r="A17" s="1"/>
      <c r="B17" s="58"/>
      <c r="C17" s="59"/>
      <c r="D17" s="60"/>
      <c r="E17" s="61"/>
      <c r="F17" s="60"/>
      <c r="G17" s="1"/>
    </row>
    <row r="18" spans="1:7" x14ac:dyDescent="0.25">
      <c r="A18" s="1"/>
      <c r="B18" s="62"/>
      <c r="C18" s="63"/>
      <c r="D18" s="64"/>
      <c r="E18" s="63"/>
      <c r="F18" s="64"/>
      <c r="G18" s="1"/>
    </row>
    <row r="19" spans="1:7" x14ac:dyDescent="0.25">
      <c r="A19" s="1"/>
      <c r="B19" s="62"/>
      <c r="C19" s="63"/>
      <c r="D19" s="64"/>
      <c r="E19" s="63"/>
      <c r="F19" s="64"/>
      <c r="G19" s="1"/>
    </row>
    <row r="20" spans="1:7" x14ac:dyDescent="0.25">
      <c r="A20" s="1"/>
      <c r="B20" s="55"/>
      <c r="C20" s="55"/>
      <c r="D20" s="55"/>
      <c r="E20" s="55"/>
      <c r="F20" s="55"/>
      <c r="G20" s="1"/>
    </row>
    <row r="21" spans="1:7" x14ac:dyDescent="0.25">
      <c r="A21" s="1"/>
      <c r="B21" s="162"/>
      <c r="C21" s="162"/>
      <c r="D21" s="162"/>
      <c r="E21" s="162"/>
      <c r="F21" s="162"/>
      <c r="G21" s="1"/>
    </row>
    <row r="22" spans="1:7" x14ac:dyDescent="0.25">
      <c r="A22" s="1"/>
      <c r="B22" s="56"/>
      <c r="C22" s="56"/>
      <c r="D22" s="56"/>
      <c r="E22" s="56"/>
      <c r="F22" s="57"/>
      <c r="G22" s="1"/>
    </row>
    <row r="23" spans="1:7" x14ac:dyDescent="0.25">
      <c r="A23" s="1"/>
      <c r="B23" s="58"/>
      <c r="C23" s="59"/>
      <c r="D23" s="60"/>
      <c r="E23" s="61"/>
      <c r="F23" s="60"/>
      <c r="G23" s="1"/>
    </row>
    <row r="24" spans="1:7" x14ac:dyDescent="0.25">
      <c r="A24" s="1"/>
      <c r="B24" s="58"/>
      <c r="C24" s="59"/>
      <c r="D24" s="60"/>
      <c r="E24" s="61"/>
      <c r="F24" s="60"/>
      <c r="G24" s="1"/>
    </row>
    <row r="25" spans="1:7" x14ac:dyDescent="0.25">
      <c r="A25" s="1"/>
      <c r="B25" s="62"/>
      <c r="C25" s="63"/>
      <c r="D25" s="64"/>
      <c r="E25" s="63"/>
      <c r="F25" s="64"/>
      <c r="G25" s="1"/>
    </row>
    <row r="26" spans="1:7" x14ac:dyDescent="0.25">
      <c r="A26" s="1"/>
      <c r="B26" s="62"/>
      <c r="C26" s="63"/>
      <c r="D26" s="64"/>
      <c r="E26" s="63"/>
      <c r="F26" s="64"/>
      <c r="G26" s="1"/>
    </row>
    <row r="27" spans="1:7" x14ac:dyDescent="0.25">
      <c r="A27" s="1"/>
      <c r="B27" s="55"/>
      <c r="C27" s="55"/>
      <c r="D27" s="55"/>
      <c r="E27" s="55"/>
      <c r="F27" s="55"/>
      <c r="G27" s="1"/>
    </row>
    <row r="28" spans="1:7" x14ac:dyDescent="0.25">
      <c r="A28" s="1"/>
      <c r="B28" s="162"/>
      <c r="C28" s="162"/>
      <c r="D28" s="162"/>
      <c r="E28" s="162"/>
      <c r="F28" s="162"/>
      <c r="G28" s="1"/>
    </row>
    <row r="29" spans="1:7" x14ac:dyDescent="0.25">
      <c r="A29" s="1"/>
      <c r="B29" s="56"/>
      <c r="C29" s="56"/>
      <c r="D29" s="56"/>
      <c r="E29" s="56"/>
      <c r="F29" s="57"/>
      <c r="G29" s="1"/>
    </row>
    <row r="30" spans="1:7" x14ac:dyDescent="0.25">
      <c r="A30" s="1"/>
      <c r="B30" s="58"/>
      <c r="C30" s="59"/>
      <c r="D30" s="60"/>
      <c r="E30" s="61"/>
      <c r="F30" s="60"/>
      <c r="G30" s="1"/>
    </row>
    <row r="31" spans="1:7" x14ac:dyDescent="0.25">
      <c r="A31" s="1"/>
      <c r="B31" s="58"/>
      <c r="C31" s="59"/>
      <c r="D31" s="60"/>
      <c r="E31" s="61"/>
      <c r="F31" s="60"/>
      <c r="G31" s="1"/>
    </row>
    <row r="32" spans="1:7" x14ac:dyDescent="0.25">
      <c r="A32" s="1"/>
      <c r="B32" s="62"/>
      <c r="C32" s="63"/>
      <c r="D32" s="64"/>
      <c r="E32" s="63"/>
      <c r="F32" s="64"/>
      <c r="G32" s="1"/>
    </row>
    <row r="33" spans="1:7" x14ac:dyDescent="0.25">
      <c r="A33" s="1"/>
      <c r="B33" s="62"/>
      <c r="C33" s="63"/>
      <c r="D33" s="64"/>
      <c r="E33" s="63"/>
      <c r="F33" s="64"/>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gOrUI5K8Mu9cc9DBGVySNKctIVdMvVzmcNl/5m2nHJhrssUOUYA/Lmhsd+Cdg92ncyUDMrXY0rG7mul6jLGm9w==" saltValue="IyjQP5ZPLYrTO0evE0i6i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260</v>
      </c>
      <c r="C3" s="133"/>
      <c r="D3" s="133"/>
      <c r="E3" s="133"/>
      <c r="F3" s="133"/>
      <c r="G3" s="1"/>
    </row>
    <row r="4" spans="1:7" ht="15" customHeight="1" x14ac:dyDescent="0.25">
      <c r="A4" s="1"/>
      <c r="B4" s="133"/>
      <c r="C4" s="133"/>
      <c r="D4" s="133"/>
      <c r="E4" s="133"/>
      <c r="F4" s="133"/>
      <c r="G4" s="1"/>
    </row>
    <row r="5" spans="1:7" x14ac:dyDescent="0.25">
      <c r="A5" s="1"/>
      <c r="B5" s="133"/>
      <c r="C5" s="133"/>
      <c r="D5" s="133"/>
      <c r="E5" s="133"/>
      <c r="F5" s="13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5" t="s">
        <v>91</v>
      </c>
      <c r="C9" s="126"/>
      <c r="D9" s="126"/>
      <c r="E9" s="126"/>
      <c r="F9" s="127"/>
      <c r="G9" s="1"/>
    </row>
    <row r="10" spans="1:7" x14ac:dyDescent="0.25">
      <c r="A10" s="1"/>
      <c r="B10" s="157" t="s">
        <v>226</v>
      </c>
      <c r="C10" s="158"/>
      <c r="D10" s="159"/>
      <c r="E10" s="9">
        <v>0</v>
      </c>
      <c r="F10" s="14" t="s">
        <v>3</v>
      </c>
      <c r="G10" s="1"/>
    </row>
    <row r="11" spans="1:7" x14ac:dyDescent="0.25">
      <c r="A11" s="1"/>
      <c r="B11" s="119" t="s">
        <v>10</v>
      </c>
      <c r="C11" s="120"/>
      <c r="D11" s="121"/>
      <c r="E11" s="9">
        <f>-E10*'Fane 5. Individuelt eff. krav'!G9</f>
        <v>0</v>
      </c>
      <c r="F11" s="14" t="s">
        <v>3</v>
      </c>
      <c r="G11" s="1"/>
    </row>
    <row r="12" spans="1:7" x14ac:dyDescent="0.25">
      <c r="A12" s="1"/>
      <c r="B12" s="119" t="s">
        <v>24</v>
      </c>
      <c r="C12" s="120"/>
      <c r="D12" s="121"/>
      <c r="E12" s="9">
        <f>-E10*'Fane 15. Nøgletal'!C31</f>
        <v>0</v>
      </c>
      <c r="F12" s="14" t="s">
        <v>3</v>
      </c>
      <c r="G12" s="1"/>
    </row>
    <row r="13" spans="1:7" x14ac:dyDescent="0.25">
      <c r="A13" s="1"/>
      <c r="B13" s="125" t="s">
        <v>92</v>
      </c>
      <c r="C13" s="126"/>
      <c r="D13" s="127"/>
      <c r="E13" s="12">
        <f>SUM(E10:E12)*(1+'Fane 15. Nøgletal'!C15)^2</f>
        <v>0</v>
      </c>
      <c r="F13" s="13" t="s">
        <v>3</v>
      </c>
      <c r="G13" s="1"/>
    </row>
    <row r="14" spans="1:7" x14ac:dyDescent="0.25">
      <c r="A14" s="1"/>
      <c r="B14" s="1"/>
      <c r="C14" s="1"/>
      <c r="D14" s="1"/>
      <c r="E14" s="1"/>
      <c r="F14" s="1"/>
      <c r="G14" s="1"/>
    </row>
    <row r="15" spans="1:7" ht="15" customHeight="1" x14ac:dyDescent="0.25">
      <c r="A15" s="1"/>
      <c r="B15" s="125" t="s">
        <v>130</v>
      </c>
      <c r="C15" s="126"/>
      <c r="D15" s="126"/>
      <c r="E15" s="126"/>
      <c r="F15" s="127"/>
      <c r="G15" s="1"/>
    </row>
    <row r="16" spans="1:7" x14ac:dyDescent="0.25">
      <c r="A16" s="1"/>
      <c r="B16" s="157" t="s">
        <v>226</v>
      </c>
      <c r="C16" s="158"/>
      <c r="D16" s="159"/>
      <c r="E16" s="9">
        <v>0</v>
      </c>
      <c r="F16" s="14" t="s">
        <v>3</v>
      </c>
      <c r="G16" s="1"/>
    </row>
    <row r="17" spans="1:7" x14ac:dyDescent="0.25">
      <c r="A17" s="1"/>
      <c r="B17" s="119" t="s">
        <v>10</v>
      </c>
      <c r="C17" s="120"/>
      <c r="D17" s="121"/>
      <c r="E17" s="9">
        <f>-E16*'Fane 5. Individuelt eff. krav'!G9</f>
        <v>0</v>
      </c>
      <c r="F17" s="14" t="s">
        <v>3</v>
      </c>
      <c r="G17" s="1"/>
    </row>
    <row r="18" spans="1:7" x14ac:dyDescent="0.25">
      <c r="A18" s="1"/>
      <c r="B18" s="119" t="s">
        <v>24</v>
      </c>
      <c r="C18" s="120"/>
      <c r="D18" s="121"/>
      <c r="E18" s="9">
        <f>-E16*'Fane 15. Nøgletal'!C31</f>
        <v>0</v>
      </c>
      <c r="F18" s="14" t="s">
        <v>3</v>
      </c>
      <c r="G18" s="1"/>
    </row>
    <row r="19" spans="1:7" x14ac:dyDescent="0.25">
      <c r="A19" s="1"/>
      <c r="B19" s="125" t="s">
        <v>131</v>
      </c>
      <c r="C19" s="126"/>
      <c r="D19" s="127"/>
      <c r="E19" s="12">
        <f>SUM(E16:E18)*(1+'Fane 15. Nøgletal'!C15)^3</f>
        <v>0</v>
      </c>
      <c r="F19" s="13" t="s">
        <v>3</v>
      </c>
      <c r="G19" s="1"/>
    </row>
    <row r="20" spans="1:7" x14ac:dyDescent="0.25">
      <c r="A20" s="1"/>
      <c r="B20" s="1"/>
      <c r="C20" s="1"/>
      <c r="D20" s="1"/>
      <c r="E20" s="1"/>
      <c r="F20" s="1"/>
      <c r="G20" s="1"/>
    </row>
    <row r="21" spans="1:7" ht="15" customHeight="1" x14ac:dyDescent="0.25">
      <c r="A21" s="1"/>
      <c r="B21" s="125" t="s">
        <v>157</v>
      </c>
      <c r="C21" s="126"/>
      <c r="D21" s="126"/>
      <c r="E21" s="126"/>
      <c r="F21" s="127"/>
      <c r="G21" s="1"/>
    </row>
    <row r="22" spans="1:7" x14ac:dyDescent="0.25">
      <c r="A22" s="1"/>
      <c r="B22" s="157" t="s">
        <v>226</v>
      </c>
      <c r="C22" s="158"/>
      <c r="D22" s="159"/>
      <c r="E22" s="9">
        <v>0</v>
      </c>
      <c r="F22" s="14" t="s">
        <v>3</v>
      </c>
      <c r="G22" s="1"/>
    </row>
    <row r="23" spans="1:7" x14ac:dyDescent="0.25">
      <c r="A23" s="1"/>
      <c r="B23" s="119" t="s">
        <v>10</v>
      </c>
      <c r="C23" s="120"/>
      <c r="D23" s="121"/>
      <c r="E23" s="9">
        <f>-E22*'Fane 5. Individuelt eff. krav'!G9</f>
        <v>0</v>
      </c>
      <c r="F23" s="14" t="s">
        <v>3</v>
      </c>
      <c r="G23" s="1"/>
    </row>
    <row r="24" spans="1:7" x14ac:dyDescent="0.25">
      <c r="A24" s="1"/>
      <c r="B24" s="119" t="s">
        <v>24</v>
      </c>
      <c r="C24" s="120"/>
      <c r="D24" s="121"/>
      <c r="E24" s="9">
        <f>-E22*'Fane 15. Nøgletal'!C31</f>
        <v>0</v>
      </c>
      <c r="F24" s="14" t="s">
        <v>3</v>
      </c>
      <c r="G24" s="1"/>
    </row>
    <row r="25" spans="1:7" x14ac:dyDescent="0.25">
      <c r="A25" s="1"/>
      <c r="B25" s="125" t="s">
        <v>158</v>
      </c>
      <c r="C25" s="126"/>
      <c r="D25" s="127"/>
      <c r="E25" s="12">
        <f>SUM(E22:E24)*(1+'Fane 15. Nøgletal'!C15)^4</f>
        <v>0</v>
      </c>
      <c r="F25" s="13" t="s">
        <v>3</v>
      </c>
      <c r="G25" s="1"/>
    </row>
    <row r="26" spans="1:7" x14ac:dyDescent="0.25">
      <c r="A26" s="1"/>
      <c r="B26" s="1"/>
      <c r="C26" s="1"/>
      <c r="D26" s="1"/>
      <c r="E26" s="1"/>
      <c r="F26" s="1"/>
      <c r="G26" s="1"/>
    </row>
    <row r="27" spans="1:7" ht="15" customHeight="1" x14ac:dyDescent="0.25">
      <c r="A27" s="1"/>
      <c r="B27" s="125" t="s">
        <v>215</v>
      </c>
      <c r="C27" s="126"/>
      <c r="D27" s="126"/>
      <c r="E27" s="126"/>
      <c r="F27" s="127"/>
      <c r="G27" s="1"/>
    </row>
    <row r="28" spans="1:7" ht="14.25" customHeight="1" x14ac:dyDescent="0.25">
      <c r="A28" s="1"/>
      <c r="B28" s="157" t="s">
        <v>226</v>
      </c>
      <c r="C28" s="158"/>
      <c r="D28" s="159"/>
      <c r="E28" s="9">
        <v>0</v>
      </c>
      <c r="F28" s="14" t="s">
        <v>3</v>
      </c>
      <c r="G28" s="1"/>
    </row>
    <row r="29" spans="1:7" x14ac:dyDescent="0.25">
      <c r="A29" s="1"/>
      <c r="B29" s="119" t="s">
        <v>10</v>
      </c>
      <c r="C29" s="120"/>
      <c r="D29" s="121"/>
      <c r="E29" s="9">
        <f>-E28*'Fane 5. Individuelt eff. krav'!G9</f>
        <v>0</v>
      </c>
      <c r="F29" s="14" t="s">
        <v>3</v>
      </c>
      <c r="G29" s="1"/>
    </row>
    <row r="30" spans="1:7" x14ac:dyDescent="0.25">
      <c r="A30" s="1"/>
      <c r="B30" s="119" t="s">
        <v>24</v>
      </c>
      <c r="C30" s="120"/>
      <c r="D30" s="121"/>
      <c r="E30" s="9">
        <f>-E28*'Fane 15. Nøgletal'!C31</f>
        <v>0</v>
      </c>
      <c r="F30" s="14" t="s">
        <v>3</v>
      </c>
      <c r="G30" s="1"/>
    </row>
    <row r="31" spans="1:7" x14ac:dyDescent="0.25">
      <c r="A31" s="1"/>
      <c r="B31" s="125" t="s">
        <v>216</v>
      </c>
      <c r="C31" s="126"/>
      <c r="D31" s="127"/>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oF27Ag1C+jcaPcXQoh8Op3HuCdkPaVYYM7Q5/unbbcbw4dISismQNjJs3D0aXfuKaZvH+CMplMj0jknDdRbykA==" saltValue="y/po0an1PgXGuRyXq++3t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261</v>
      </c>
      <c r="C3" s="133"/>
      <c r="D3" s="133"/>
      <c r="E3" s="133"/>
      <c r="F3" s="133"/>
      <c r="G3" s="1"/>
    </row>
    <row r="4" spans="1:7" ht="25.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5" t="s">
        <v>132</v>
      </c>
      <c r="C8" s="126"/>
      <c r="D8" s="126"/>
      <c r="E8" s="126"/>
      <c r="F8" s="127"/>
      <c r="G8" s="1"/>
    </row>
    <row r="9" spans="1:7" ht="15" customHeight="1" x14ac:dyDescent="0.25">
      <c r="A9" s="1"/>
      <c r="B9" s="30" t="s">
        <v>133</v>
      </c>
      <c r="C9" s="30" t="s">
        <v>11</v>
      </c>
      <c r="D9" s="31"/>
      <c r="E9" s="30" t="s">
        <v>31</v>
      </c>
      <c r="F9" s="31"/>
      <c r="G9" s="1"/>
    </row>
    <row r="10" spans="1:7" x14ac:dyDescent="0.25">
      <c r="A10" s="1"/>
      <c r="B10" s="23" t="s">
        <v>273</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sDePwOOvYdG2YMZOv/VDY1YV0s1r0JEKG44Ev7HgckbUTTD0tc6EXWofSAX4swtcksU8RbeZqvIfVzzToIyXcw==" saltValue="CgjNFDdzCUrD8RKG/41Tl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262</v>
      </c>
      <c r="C3" s="133"/>
      <c r="D3" s="133"/>
      <c r="E3" s="133"/>
      <c r="F3" s="133"/>
      <c r="G3" s="1"/>
    </row>
    <row r="4" spans="1:7" ht="25.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5" t="s">
        <v>93</v>
      </c>
      <c r="C9" s="126"/>
      <c r="D9" s="126"/>
      <c r="E9" s="126"/>
      <c r="F9" s="127"/>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236</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2"/>
      <c r="C15" s="162"/>
      <c r="D15" s="162"/>
      <c r="E15" s="162"/>
      <c r="F15" s="162"/>
      <c r="G15" s="1"/>
    </row>
    <row r="16" spans="1:7" x14ac:dyDescent="0.25">
      <c r="A16" s="1"/>
      <c r="B16" s="57"/>
      <c r="C16" s="57"/>
      <c r="D16" s="57"/>
      <c r="E16" s="57"/>
      <c r="F16" s="57"/>
      <c r="G16" s="1"/>
    </row>
    <row r="17" spans="1:7" x14ac:dyDescent="0.25">
      <c r="A17" s="1"/>
      <c r="B17" s="58"/>
      <c r="C17" s="61"/>
      <c r="D17" s="60"/>
      <c r="E17" s="61"/>
      <c r="F17" s="60"/>
      <c r="G17" s="1"/>
    </row>
    <row r="18" spans="1:7" x14ac:dyDescent="0.25">
      <c r="A18" s="1"/>
      <c r="B18" s="62"/>
      <c r="C18" s="63"/>
      <c r="D18" s="64"/>
      <c r="E18" s="63"/>
      <c r="F18" s="64"/>
      <c r="G18" s="1"/>
    </row>
    <row r="19" spans="1:7" x14ac:dyDescent="0.25">
      <c r="A19" s="1"/>
      <c r="B19" s="62"/>
      <c r="C19" s="63"/>
      <c r="D19" s="64"/>
      <c r="E19" s="63"/>
      <c r="F19" s="64"/>
      <c r="G19" s="1"/>
    </row>
    <row r="20" spans="1:7" x14ac:dyDescent="0.25">
      <c r="A20" s="1"/>
      <c r="B20" s="55"/>
      <c r="C20" s="55"/>
      <c r="D20" s="55"/>
      <c r="E20" s="55"/>
      <c r="F20" s="55"/>
      <c r="G20" s="1"/>
    </row>
    <row r="21" spans="1:7" x14ac:dyDescent="0.25">
      <c r="A21" s="1"/>
      <c r="B21" s="162"/>
      <c r="C21" s="162"/>
      <c r="D21" s="162"/>
      <c r="E21" s="162"/>
      <c r="F21" s="162"/>
      <c r="G21" s="1"/>
    </row>
    <row r="22" spans="1:7" x14ac:dyDescent="0.25">
      <c r="A22" s="1"/>
      <c r="B22" s="57"/>
      <c r="C22" s="57"/>
      <c r="D22" s="57"/>
      <c r="E22" s="57"/>
      <c r="F22" s="57"/>
      <c r="G22" s="1"/>
    </row>
    <row r="23" spans="1:7" x14ac:dyDescent="0.25">
      <c r="A23" s="1"/>
      <c r="B23" s="58"/>
      <c r="C23" s="61"/>
      <c r="D23" s="60"/>
      <c r="E23" s="61"/>
      <c r="F23" s="60"/>
      <c r="G23" s="1"/>
    </row>
    <row r="24" spans="1:7" x14ac:dyDescent="0.25">
      <c r="A24" s="1"/>
      <c r="B24" s="62"/>
      <c r="C24" s="63"/>
      <c r="D24" s="64"/>
      <c r="E24" s="63"/>
      <c r="F24" s="64"/>
      <c r="G24" s="1"/>
    </row>
    <row r="25" spans="1:7" x14ac:dyDescent="0.25">
      <c r="A25" s="1"/>
      <c r="B25" s="62"/>
      <c r="C25" s="63"/>
      <c r="D25" s="64"/>
      <c r="E25" s="63"/>
      <c r="F25" s="64"/>
      <c r="G25" s="1"/>
    </row>
    <row r="26" spans="1:7" x14ac:dyDescent="0.25">
      <c r="A26" s="1"/>
      <c r="B26" s="55"/>
      <c r="C26" s="55"/>
      <c r="D26" s="55"/>
      <c r="E26" s="55"/>
      <c r="F26" s="55"/>
      <c r="G26" s="1"/>
    </row>
    <row r="27" spans="1:7" x14ac:dyDescent="0.25">
      <c r="A27" s="1"/>
      <c r="B27" s="162"/>
      <c r="C27" s="162"/>
      <c r="D27" s="162"/>
      <c r="E27" s="162"/>
      <c r="F27" s="162"/>
      <c r="G27" s="1"/>
    </row>
    <row r="28" spans="1:7" x14ac:dyDescent="0.25">
      <c r="A28" s="1"/>
      <c r="B28" s="57"/>
      <c r="C28" s="57"/>
      <c r="D28" s="57"/>
      <c r="E28" s="57"/>
      <c r="F28" s="57"/>
      <c r="G28" s="1"/>
    </row>
    <row r="29" spans="1:7" x14ac:dyDescent="0.25">
      <c r="A29" s="1"/>
      <c r="B29" s="58"/>
      <c r="C29" s="61"/>
      <c r="D29" s="60"/>
      <c r="E29" s="61"/>
      <c r="F29" s="60"/>
      <c r="G29" s="1"/>
    </row>
    <row r="30" spans="1:7" x14ac:dyDescent="0.25">
      <c r="A30" s="1"/>
      <c r="B30" s="62"/>
      <c r="C30" s="63"/>
      <c r="D30" s="64"/>
      <c r="E30" s="63"/>
      <c r="F30" s="64"/>
      <c r="G30" s="1"/>
    </row>
    <row r="31" spans="1:7" x14ac:dyDescent="0.25">
      <c r="A31" s="1"/>
      <c r="B31" s="62"/>
      <c r="C31" s="63"/>
      <c r="D31" s="64"/>
      <c r="E31" s="63"/>
      <c r="F31" s="64"/>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txrKHvtCylW459jy43SfdHi+IXjhj7NT4F/3DwufMyWG05R4trGkWJISgoDp3Yiznl9ctC7TS5WPFabcDLWL5g==" saltValue="glVsT92q53f6MHpxdIFzV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182</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64805721.361813419</v>
      </c>
      <c r="D9" s="8" t="s">
        <v>3</v>
      </c>
      <c r="E9" s="1"/>
    </row>
    <row r="10" spans="1:5" ht="17.25" customHeight="1" x14ac:dyDescent="0.25">
      <c r="A10" s="1"/>
      <c r="B10" s="79" t="s">
        <v>39</v>
      </c>
      <c r="C10" s="7">
        <f>'Fane 11.1. Varige tillæg'!C14</f>
        <v>1895809.7484000002</v>
      </c>
      <c r="D10" s="8" t="s">
        <v>3</v>
      </c>
      <c r="E10" s="1"/>
    </row>
    <row r="11" spans="1:5" ht="17.25" customHeight="1" x14ac:dyDescent="0.25">
      <c r="A11" s="1"/>
      <c r="B11" s="79" t="s">
        <v>40</v>
      </c>
      <c r="C11" s="9">
        <f>'Fane 11.1. Varige tillæg'!E14</f>
        <v>259438.51200000002</v>
      </c>
      <c r="D11" s="8" t="s">
        <v>3</v>
      </c>
      <c r="E11" s="1"/>
    </row>
    <row r="12" spans="1:5" ht="17.25" customHeight="1" x14ac:dyDescent="0.25">
      <c r="A12" s="1"/>
      <c r="B12" s="79" t="s">
        <v>27</v>
      </c>
      <c r="C12" s="9">
        <f>-'Fane 14. Bortfald'!C13</f>
        <v>0</v>
      </c>
      <c r="D12" s="8" t="s">
        <v>3</v>
      </c>
      <c r="E12" s="1"/>
    </row>
    <row r="13" spans="1:5" ht="17.25" customHeight="1" x14ac:dyDescent="0.25">
      <c r="A13" s="1"/>
      <c r="B13" s="79" t="s">
        <v>26</v>
      </c>
      <c r="C13" s="9">
        <f>-'Fane 14. Bortfald'!E13</f>
        <v>0</v>
      </c>
      <c r="D13" s="8" t="s">
        <v>3</v>
      </c>
      <c r="E13" s="1"/>
    </row>
    <row r="14" spans="1:5" ht="17.25" customHeight="1" x14ac:dyDescent="0.25">
      <c r="A14" s="1"/>
      <c r="B14" s="79" t="s">
        <v>124</v>
      </c>
      <c r="C14" s="9">
        <f>'Fane 13. Tilknyttet virksomhed'!C12</f>
        <v>0</v>
      </c>
      <c r="D14" s="8" t="s">
        <v>3</v>
      </c>
      <c r="E14" s="1"/>
    </row>
    <row r="15" spans="1:5" ht="17.25" customHeight="1" x14ac:dyDescent="0.25">
      <c r="A15" s="1"/>
      <c r="B15" s="79" t="s">
        <v>125</v>
      </c>
      <c r="C15" s="9">
        <f>'Fane 13. Tilknyttet virksomhed'!E12</f>
        <v>0</v>
      </c>
      <c r="D15" s="8" t="s">
        <v>3</v>
      </c>
      <c r="E15" s="1"/>
    </row>
    <row r="16" spans="1:5" ht="17.25" customHeight="1" x14ac:dyDescent="0.25">
      <c r="A16" s="1"/>
      <c r="B16" s="79" t="s">
        <v>19</v>
      </c>
      <c r="C16" s="44">
        <f>SUM(C9)*'Fane 15. Nøgletal'!C14+SUM(C10:C15)*'Fane 15. Nøgletal'!C15</f>
        <v>290585.71856422425</v>
      </c>
      <c r="D16" s="8" t="s">
        <v>3</v>
      </c>
      <c r="E16" s="1"/>
    </row>
    <row r="17" spans="1:5" ht="17.25" customHeight="1" x14ac:dyDescent="0.25">
      <c r="A17" s="1"/>
      <c r="B17" s="79" t="s">
        <v>10</v>
      </c>
      <c r="C17" s="44">
        <f>-SUM(C9,C10:C16)*'Fane 5. Individuelt eff. krav'!G9</f>
        <v>-478004.44990046427</v>
      </c>
      <c r="D17" s="8" t="s">
        <v>3</v>
      </c>
      <c r="E17" s="1"/>
    </row>
    <row r="18" spans="1:5" ht="17.25" customHeight="1" x14ac:dyDescent="0.25">
      <c r="A18" s="1"/>
      <c r="B18" s="79" t="s">
        <v>24</v>
      </c>
      <c r="C18" s="44">
        <f>-'Fane 4.1. Gen. krav - drift'!G45</f>
        <v>-219169.19740704974</v>
      </c>
      <c r="D18" s="8" t="s">
        <v>3</v>
      </c>
      <c r="E18" s="1"/>
    </row>
    <row r="19" spans="1:5" ht="17.25" customHeight="1" x14ac:dyDescent="0.25">
      <c r="A19" s="1"/>
      <c r="B19" s="79" t="s">
        <v>25</v>
      </c>
      <c r="C19" s="44">
        <f>-'Fane 4.2. Gen. krav - anlæg'!G43</f>
        <v>-858149.86925730656</v>
      </c>
      <c r="D19" s="8" t="s">
        <v>3</v>
      </c>
      <c r="E19" s="47"/>
    </row>
    <row r="20" spans="1:5" ht="17.25" customHeight="1" x14ac:dyDescent="0.25">
      <c r="A20" s="1"/>
      <c r="B20" s="85" t="s">
        <v>21</v>
      </c>
      <c r="C20" s="10">
        <f>SUM(C9:C19)</f>
        <v>65696231.824212827</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omk.'!C14+'Fane 6. Ikke-påvirkelige omk.'!C18+'Fane 6. Ikke-påvirkelige omk.'!C26</f>
        <v>852679.42724959995</v>
      </c>
      <c r="D22" s="11" t="s">
        <v>3</v>
      </c>
      <c r="E22" s="1"/>
    </row>
    <row r="23" spans="1:5" ht="15" customHeight="1" x14ac:dyDescent="0.25">
      <c r="A23" s="1"/>
      <c r="B23" s="32" t="s">
        <v>86</v>
      </c>
      <c r="C23" s="27"/>
      <c r="D23" s="19"/>
      <c r="E23" s="1"/>
    </row>
    <row r="24" spans="1:5" ht="15" customHeight="1" x14ac:dyDescent="0.25">
      <c r="A24" s="1"/>
      <c r="B24" s="85" t="s">
        <v>86</v>
      </c>
      <c r="C24" s="10">
        <f>'Fane 12. Periodevise driftsomk.'!E13</f>
        <v>0</v>
      </c>
      <c r="D24" s="11" t="s">
        <v>3</v>
      </c>
      <c r="E24" s="1"/>
    </row>
    <row r="25" spans="1:5" ht="15" customHeight="1" x14ac:dyDescent="0.25">
      <c r="A25" s="1"/>
      <c r="B25" s="92" t="s">
        <v>85</v>
      </c>
      <c r="C25" s="45"/>
      <c r="D25" s="46"/>
      <c r="E25" s="1"/>
    </row>
    <row r="26" spans="1:5" ht="15" customHeight="1" x14ac:dyDescent="0.25">
      <c r="A26" s="1"/>
      <c r="B26" s="79" t="s">
        <v>233</v>
      </c>
      <c r="C26" s="71">
        <f>'Fane 11.2. Engangstillæg'!C12</f>
        <v>58071.962609280003</v>
      </c>
      <c r="D26" s="8" t="s">
        <v>3</v>
      </c>
      <c r="E26" s="1"/>
    </row>
    <row r="27" spans="1:5" ht="15" customHeight="1" x14ac:dyDescent="0.25">
      <c r="A27" s="1"/>
      <c r="B27" s="79" t="s">
        <v>82</v>
      </c>
      <c r="C27" s="71">
        <f>'Fane 11.2. Engangstillæg'!E12</f>
        <v>0</v>
      </c>
      <c r="D27" s="8" t="s">
        <v>3</v>
      </c>
      <c r="E27" s="1"/>
    </row>
    <row r="28" spans="1:5" ht="15" customHeight="1" x14ac:dyDescent="0.25">
      <c r="A28" s="1"/>
      <c r="B28" s="79" t="s">
        <v>240</v>
      </c>
      <c r="C28" s="71">
        <f>-C26*('Fane 15. Nøgletal'!C31+'Fane 5. Individuelt eff. krav'!G9)</f>
        <v>-1574.1978330248137</v>
      </c>
      <c r="D28" s="8" t="s">
        <v>3</v>
      </c>
      <c r="E28" s="1"/>
    </row>
    <row r="29" spans="1:5" ht="15" customHeight="1" x14ac:dyDescent="0.25">
      <c r="A29" s="1"/>
      <c r="B29" s="79" t="s">
        <v>241</v>
      </c>
      <c r="C29" s="71">
        <f>-C27*('Fane 15. Nøgletal'!C26+'Fane 5. Individuelt eff. krav'!G9)</f>
        <v>0</v>
      </c>
      <c r="D29" s="8" t="s">
        <v>3</v>
      </c>
      <c r="E29" s="1"/>
    </row>
    <row r="30" spans="1:5" ht="15" customHeight="1" x14ac:dyDescent="0.25">
      <c r="A30" s="1"/>
      <c r="B30" s="93" t="s">
        <v>87</v>
      </c>
      <c r="C30" s="10">
        <f>SUM(C26:C29)</f>
        <v>56497.764776255186</v>
      </c>
      <c r="D30" s="11" t="s">
        <v>3</v>
      </c>
      <c r="E30" s="1"/>
    </row>
    <row r="31" spans="1:5" x14ac:dyDescent="0.25">
      <c r="A31" s="1"/>
      <c r="B31" s="32" t="s">
        <v>143</v>
      </c>
      <c r="C31" s="27"/>
      <c r="D31" s="19"/>
      <c r="E31" s="1"/>
    </row>
    <row r="32" spans="1:5" x14ac:dyDescent="0.25">
      <c r="A32" s="1"/>
      <c r="B32" s="30" t="s">
        <v>181</v>
      </c>
      <c r="C32" s="10">
        <f>'Fane 7. Kontrol af ØR2021'!E28</f>
        <v>0</v>
      </c>
      <c r="D32" s="11" t="s">
        <v>3</v>
      </c>
      <c r="E32" s="1"/>
    </row>
    <row r="33" spans="1:5" ht="15" customHeight="1" x14ac:dyDescent="0.25">
      <c r="A33" s="1"/>
      <c r="B33" s="32" t="s">
        <v>186</v>
      </c>
      <c r="C33" s="27"/>
      <c r="D33" s="19"/>
      <c r="E33" s="1"/>
    </row>
    <row r="34" spans="1:5" x14ac:dyDescent="0.25">
      <c r="A34" s="1"/>
      <c r="B34" s="30" t="s">
        <v>186</v>
      </c>
      <c r="C34" s="10">
        <f>'Fane 9. Korrektion af ØR2021'!E17</f>
        <v>0</v>
      </c>
      <c r="D34" s="11" t="s">
        <v>3</v>
      </c>
      <c r="E34" s="1"/>
    </row>
    <row r="35" spans="1:5" x14ac:dyDescent="0.25">
      <c r="A35" s="1"/>
      <c r="B35" s="29" t="s">
        <v>175</v>
      </c>
      <c r="C35" s="27"/>
      <c r="D35" s="19"/>
      <c r="E35" s="1"/>
    </row>
    <row r="36" spans="1:5" x14ac:dyDescent="0.25">
      <c r="A36" s="1"/>
      <c r="B36" s="93" t="s">
        <v>176</v>
      </c>
      <c r="C36" s="10">
        <f>'Fane 8. Skattesagen'!G12</f>
        <v>0</v>
      </c>
      <c r="D36" s="11" t="s">
        <v>3</v>
      </c>
      <c r="E36" s="1"/>
    </row>
    <row r="37" spans="1:5" x14ac:dyDescent="0.25">
      <c r="A37" s="1"/>
      <c r="B37" s="32" t="s">
        <v>90</v>
      </c>
      <c r="C37" s="53">
        <f>SUM(C34,C32,C24,C30,C22,C20,C36)</f>
        <v>66605409.016238682</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pe7ozDjUOqLKvQDSBqlloEg3RPb2c/ThbuNQxGZ3zUwp8o/veo2q92r3fBGDAK1QPCnmQkJ8G4NwpqeCMeA6Pg==" saltValue="PZn4QROuOvIPbcAkDNydX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3" t="s">
        <v>263</v>
      </c>
      <c r="C3" s="133"/>
      <c r="D3" s="1"/>
    </row>
    <row r="4" spans="1:4" ht="25.5" customHeight="1" x14ac:dyDescent="0.25">
      <c r="A4" s="1"/>
      <c r="B4" s="133"/>
      <c r="C4" s="13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1" t="s">
        <v>112</v>
      </c>
      <c r="C9" s="24">
        <v>1.2699999999999999E-2</v>
      </c>
      <c r="D9" s="1"/>
    </row>
    <row r="10" spans="1:4" x14ac:dyDescent="0.25">
      <c r="A10" s="1"/>
      <c r="B10" s="91" t="s">
        <v>113</v>
      </c>
      <c r="C10" s="24">
        <v>1.7500000000000002E-2</v>
      </c>
      <c r="D10" s="1"/>
    </row>
    <row r="11" spans="1:4" x14ac:dyDescent="0.25">
      <c r="A11" s="1"/>
      <c r="B11" s="91"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1" t="s">
        <v>171</v>
      </c>
      <c r="C14" s="42">
        <v>3.3E-3</v>
      </c>
      <c r="D14" s="1"/>
    </row>
    <row r="15" spans="1:4" x14ac:dyDescent="0.25">
      <c r="A15" s="1"/>
      <c r="B15" s="33" t="s">
        <v>225</v>
      </c>
      <c r="C15" s="66">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1" t="s">
        <v>114</v>
      </c>
      <c r="C20" s="22">
        <v>9.1000000000000004E-3</v>
      </c>
      <c r="D20" s="1"/>
    </row>
    <row r="21" spans="1:4" x14ac:dyDescent="0.25">
      <c r="A21" s="1"/>
      <c r="B21" s="91" t="s">
        <v>145</v>
      </c>
      <c r="C21" s="22">
        <v>1.77E-2</v>
      </c>
      <c r="D21" s="1"/>
    </row>
    <row r="22" spans="1:4" x14ac:dyDescent="0.25">
      <c r="A22" s="1"/>
      <c r="B22" s="91" t="s">
        <v>146</v>
      </c>
      <c r="C22" s="22">
        <v>8.6999999999999994E-3</v>
      </c>
      <c r="D22" s="1"/>
    </row>
    <row r="23" spans="1:4" x14ac:dyDescent="0.25">
      <c r="A23" s="1"/>
      <c r="B23" s="91" t="s">
        <v>115</v>
      </c>
      <c r="C23" s="35">
        <v>2.8400000000000002E-2</v>
      </c>
      <c r="D23" s="1"/>
    </row>
    <row r="24" spans="1:4" x14ac:dyDescent="0.25">
      <c r="A24" s="1"/>
      <c r="B24" s="91" t="s">
        <v>147</v>
      </c>
      <c r="C24" s="35">
        <v>2.75E-2</v>
      </c>
      <c r="D24" s="1"/>
    </row>
    <row r="25" spans="1:4" x14ac:dyDescent="0.25">
      <c r="A25" s="1"/>
      <c r="B25" s="91" t="s">
        <v>148</v>
      </c>
      <c r="C25" s="35">
        <v>1.4800000000000001E-2</v>
      </c>
      <c r="D25" s="1"/>
    </row>
    <row r="26" spans="1:4" x14ac:dyDescent="0.25">
      <c r="A26" s="1"/>
      <c r="B26" s="33" t="s">
        <v>217</v>
      </c>
      <c r="C26" s="67">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1"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VviK4ZJSMFbLUSAR8hlnDP68Vi3HcT1qBoAXDdOul3iPt18zQQ2ojOMnKTssShN0BvqZM5rNG1tw2ave9Atuwg==" saltValue="2cZ75L1IZ0JfR+o2Sa73d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187</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65696231.824212827</v>
      </c>
      <c r="D9" s="8" t="s">
        <v>3</v>
      </c>
      <c r="E9" s="1"/>
    </row>
    <row r="10" spans="1:5" ht="15" customHeight="1" x14ac:dyDescent="0.25">
      <c r="A10" s="1"/>
      <c r="B10" s="25" t="s">
        <v>19</v>
      </c>
      <c r="C10" s="7">
        <f>SUM(C9:C9)*'Fane 15. Nøgletal'!C15</f>
        <v>2338785.8529419764</v>
      </c>
      <c r="D10" s="8" t="s">
        <v>3</v>
      </c>
      <c r="E10" s="1"/>
    </row>
    <row r="11" spans="1:5" ht="15" customHeight="1" x14ac:dyDescent="0.25">
      <c r="A11" s="1"/>
      <c r="B11" s="25" t="s">
        <v>10</v>
      </c>
      <c r="C11" s="9">
        <f>-SUM(C9:C10)*'Fane 5. Individuelt eff. krav'!G9</f>
        <v>-483573.07178913336</v>
      </c>
      <c r="D11" s="8" t="s">
        <v>3</v>
      </c>
      <c r="E11" s="1"/>
    </row>
    <row r="12" spans="1:5" ht="15" customHeight="1" x14ac:dyDescent="0.25">
      <c r="A12" s="1"/>
      <c r="B12" s="25" t="s">
        <v>24</v>
      </c>
      <c r="C12" s="9">
        <f>-'Fane 4.1. Gen. krav - drift'!G53</f>
        <v>-222432.1884180459</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67329012.416947633</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Nøgletal'!C15)+'Fane 6. Ikke-påvirkelige omk.'!C27+'Fane 6. Ikke-påvirkelige omk.'!C34</f>
        <v>409950.98725968582</v>
      </c>
      <c r="D16" s="11" t="s">
        <v>3</v>
      </c>
      <c r="E16" s="1"/>
    </row>
    <row r="17" spans="1:5" ht="15" customHeight="1" x14ac:dyDescent="0.25">
      <c r="A17" s="1"/>
      <c r="B17" s="32" t="s">
        <v>86</v>
      </c>
      <c r="C17" s="27"/>
      <c r="D17" s="19"/>
      <c r="E17" s="1"/>
    </row>
    <row r="18" spans="1:5" ht="15" customHeight="1" x14ac:dyDescent="0.25">
      <c r="A18" s="1"/>
      <c r="B18" s="85" t="s">
        <v>86</v>
      </c>
      <c r="C18" s="10">
        <f>'Fane 12. Periodevise driftsomk.'!E19</f>
        <v>0</v>
      </c>
      <c r="D18" s="11" t="s">
        <v>3</v>
      </c>
      <c r="E18" s="1"/>
    </row>
    <row r="19" spans="1:5" x14ac:dyDescent="0.25">
      <c r="A19" s="1"/>
      <c r="B19" s="32" t="s">
        <v>143</v>
      </c>
      <c r="C19" s="27"/>
      <c r="D19" s="19"/>
      <c r="E19" s="1"/>
    </row>
    <row r="20" spans="1:5" ht="15" customHeight="1" x14ac:dyDescent="0.25">
      <c r="A20" s="1"/>
      <c r="B20" s="30" t="s">
        <v>181</v>
      </c>
      <c r="C20" s="10">
        <f>'Fane 7. Kontrol af ØR2021'!E34</f>
        <v>0</v>
      </c>
      <c r="D20" s="11" t="s">
        <v>3</v>
      </c>
      <c r="E20" s="1"/>
    </row>
    <row r="21" spans="1:5" x14ac:dyDescent="0.25">
      <c r="A21" s="1"/>
      <c r="B21" s="29" t="s">
        <v>175</v>
      </c>
      <c r="C21" s="27"/>
      <c r="D21" s="19"/>
      <c r="E21" s="1"/>
    </row>
    <row r="22" spans="1:5" x14ac:dyDescent="0.25">
      <c r="A22" s="1"/>
      <c r="B22" s="93" t="s">
        <v>176</v>
      </c>
      <c r="C22" s="10">
        <f>'Fane 8. Skattesagen'!G13</f>
        <v>0</v>
      </c>
      <c r="D22" s="11" t="s">
        <v>3</v>
      </c>
      <c r="E22" s="1"/>
    </row>
    <row r="23" spans="1:5" x14ac:dyDescent="0.25">
      <c r="A23" s="1"/>
      <c r="B23" s="32" t="s">
        <v>128</v>
      </c>
      <c r="C23" s="12">
        <f>SUM(C14,C16,C18,C20,C22)</f>
        <v>67738963.404207319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uEJwUrDwUD9w7V3nsxTe29ud6iGujklVXQkprBppaFzCOH2IhpOrfOzeEgdk4/lckASteYhbjIr88CJS2tUQfA==" saltValue="xN+rJeKZIYit6p+RbyGKX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188</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8"/>
      <c r="C6" s="78"/>
      <c r="D6" s="78"/>
      <c r="E6" s="1"/>
    </row>
    <row r="7" spans="1:5" x14ac:dyDescent="0.25">
      <c r="A7" s="1"/>
      <c r="B7" s="1"/>
      <c r="C7" s="1"/>
      <c r="D7" s="1"/>
      <c r="E7" s="1"/>
    </row>
    <row r="8" spans="1:5" x14ac:dyDescent="0.25">
      <c r="A8" s="1"/>
      <c r="B8" s="32" t="s">
        <v>13</v>
      </c>
      <c r="C8" s="27"/>
      <c r="D8" s="19"/>
      <c r="E8" s="1"/>
    </row>
    <row r="9" spans="1:5" ht="15" customHeight="1" x14ac:dyDescent="0.25">
      <c r="A9" s="1"/>
      <c r="B9" s="28" t="s">
        <v>235</v>
      </c>
      <c r="C9" s="7">
        <f>'Fane 2.2. Økonomisk ramme 2024'!C14</f>
        <v>67329012.416947633</v>
      </c>
      <c r="D9" s="8" t="s">
        <v>3</v>
      </c>
      <c r="E9" s="1"/>
    </row>
    <row r="10" spans="1:5" ht="15" customHeight="1" x14ac:dyDescent="0.25">
      <c r="A10" s="1"/>
      <c r="B10" s="25" t="s">
        <v>19</v>
      </c>
      <c r="C10" s="7">
        <f>SUM(C9:C9)*'Fane 15. Nøgletal'!C15</f>
        <v>2396912.8420433355</v>
      </c>
      <c r="D10" s="8" t="s">
        <v>3</v>
      </c>
      <c r="E10" s="1"/>
    </row>
    <row r="11" spans="1:5" ht="15" customHeight="1" x14ac:dyDescent="0.25">
      <c r="A11" s="1"/>
      <c r="B11" s="25" t="s">
        <v>10</v>
      </c>
      <c r="C11" s="9">
        <f>-SUM(C9:C10)*'Fane 5. Individuelt eff. krav'!G9</f>
        <v>-495591.54994019604</v>
      </c>
      <c r="D11" s="8" t="s">
        <v>3</v>
      </c>
      <c r="E11" s="1"/>
    </row>
    <row r="12" spans="1:5" ht="15" customHeight="1" x14ac:dyDescent="0.25">
      <c r="A12" s="1"/>
      <c r="B12" s="25" t="s">
        <v>24</v>
      </c>
      <c r="C12" s="9">
        <f>-'Fane 4.1. Gen. krav - drift'!G58</f>
        <v>-225743.75883921378</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69004589.950211555</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Nøgletal'!C15)^2+'Fane 6. Ikke-påvirkelige omk.'!C20+'Fane 6. Ikke-påvirkelige omk.'!C28</f>
        <v>424545.24240613059</v>
      </c>
      <c r="D16" s="11" t="s">
        <v>3</v>
      </c>
      <c r="E16" s="1"/>
    </row>
    <row r="17" spans="1:5" ht="15" customHeight="1" x14ac:dyDescent="0.25">
      <c r="A17" s="1"/>
      <c r="B17" s="32" t="s">
        <v>86</v>
      </c>
      <c r="C17" s="27"/>
      <c r="D17" s="19"/>
      <c r="E17" s="1"/>
    </row>
    <row r="18" spans="1:5" ht="15" customHeight="1" x14ac:dyDescent="0.25">
      <c r="A18" s="1"/>
      <c r="B18" s="85"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181</v>
      </c>
      <c r="C20" s="10">
        <f>'Fane 7. Kontrol af ØR2021'!E34</f>
        <v>0</v>
      </c>
      <c r="D20" s="11" t="s">
        <v>3</v>
      </c>
      <c r="E20" s="1"/>
    </row>
    <row r="21" spans="1:5" x14ac:dyDescent="0.25">
      <c r="A21" s="1"/>
      <c r="B21" s="29" t="s">
        <v>175</v>
      </c>
      <c r="C21" s="27"/>
      <c r="D21" s="19"/>
      <c r="E21" s="1"/>
    </row>
    <row r="22" spans="1:5" x14ac:dyDescent="0.25">
      <c r="A22" s="1"/>
      <c r="B22" s="93" t="s">
        <v>176</v>
      </c>
      <c r="C22" s="10">
        <f>'Fane 8. Skattesagen'!G14</f>
        <v>0</v>
      </c>
      <c r="D22" s="11" t="s">
        <v>3</v>
      </c>
      <c r="E22" s="1"/>
    </row>
    <row r="23" spans="1:5" x14ac:dyDescent="0.25">
      <c r="A23" s="1"/>
      <c r="B23" s="32" t="s">
        <v>149</v>
      </c>
      <c r="C23" s="12">
        <f>SUM(C14,C16,C18,C20,C22)</f>
        <v>69429135.192617685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zlMWHMBnOds3vw5SYshVvudrFYenxlSTd89p4H5HLu0IrCL+hRZ9NDYn1Gja1rZguHSHN0ZPL5rNm24SpaDmtw==" saltValue="uWsJs3Qao+EUlV4NmLV1X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189</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8"/>
      <c r="C6" s="78"/>
      <c r="D6" s="78"/>
      <c r="E6" s="1"/>
    </row>
    <row r="7" spans="1:5" x14ac:dyDescent="0.25">
      <c r="A7" s="1"/>
      <c r="B7" s="1"/>
      <c r="C7" s="1"/>
      <c r="D7" s="1"/>
      <c r="E7" s="1"/>
    </row>
    <row r="8" spans="1:5" x14ac:dyDescent="0.25">
      <c r="A8" s="1"/>
      <c r="B8" s="32" t="s">
        <v>13</v>
      </c>
      <c r="C8" s="27"/>
      <c r="D8" s="19"/>
      <c r="E8" s="1"/>
    </row>
    <row r="9" spans="1:5" ht="15" customHeight="1" x14ac:dyDescent="0.25">
      <c r="A9" s="1"/>
      <c r="B9" s="28" t="s">
        <v>190</v>
      </c>
      <c r="C9" s="7">
        <f>'Fane 2.3. Økonomisk ramme 2025'!C14</f>
        <v>69004589.950211555</v>
      </c>
      <c r="D9" s="8" t="s">
        <v>3</v>
      </c>
      <c r="E9" s="1"/>
    </row>
    <row r="10" spans="1:5" ht="15" customHeight="1" x14ac:dyDescent="0.25">
      <c r="A10" s="1"/>
      <c r="B10" s="25" t="s">
        <v>19</v>
      </c>
      <c r="C10" s="7">
        <f>SUM(C9:C9)*'Fane 15. Nøgletal'!C15</f>
        <v>2456563.4022275312</v>
      </c>
      <c r="D10" s="8" t="s">
        <v>3</v>
      </c>
      <c r="E10" s="1"/>
    </row>
    <row r="11" spans="1:5" ht="15" customHeight="1" x14ac:dyDescent="0.25">
      <c r="A11" s="1"/>
      <c r="B11" s="25" t="s">
        <v>10</v>
      </c>
      <c r="C11" s="9">
        <f>-SUM(C9:C10)*'Fane 5. Individuelt eff. krav'!G9</f>
        <v>-507925.04536729091</v>
      </c>
      <c r="D11" s="8" t="s">
        <v>3</v>
      </c>
      <c r="E11" s="1"/>
    </row>
    <row r="12" spans="1:5" ht="15" customHeight="1" x14ac:dyDescent="0.25">
      <c r="A12" s="1"/>
      <c r="B12" s="25" t="s">
        <v>24</v>
      </c>
      <c r="C12" s="9">
        <f>-'Fane 4.1. Gen. krav - drift'!G63</f>
        <v>-229104.63192081198</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70724123.67515099</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Nøgletal'!C15)^3+'Fane 6. Ikke-påvirkelige omk.'!C21+'Fane 6. Ikke-påvirkelige omk.'!C29</f>
        <v>439659.05303578888</v>
      </c>
      <c r="D16" s="11" t="s">
        <v>3</v>
      </c>
      <c r="E16" s="1"/>
    </row>
    <row r="17" spans="1:5" ht="15" customHeight="1" x14ac:dyDescent="0.25">
      <c r="A17" s="1"/>
      <c r="B17" s="32" t="s">
        <v>86</v>
      </c>
      <c r="C17" s="27"/>
      <c r="D17" s="19"/>
      <c r="E17" s="1"/>
    </row>
    <row r="18" spans="1:5" ht="15" customHeight="1" x14ac:dyDescent="0.25">
      <c r="A18" s="1"/>
      <c r="B18" s="85"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181</v>
      </c>
      <c r="C20" s="10">
        <f>'Fane 7. Kontrol af ØR2021'!E34</f>
        <v>0</v>
      </c>
      <c r="D20" s="11" t="s">
        <v>3</v>
      </c>
      <c r="E20" s="1"/>
    </row>
    <row r="21" spans="1:5" x14ac:dyDescent="0.25">
      <c r="A21" s="1"/>
      <c r="B21" s="29" t="s">
        <v>175</v>
      </c>
      <c r="C21" s="27"/>
      <c r="D21" s="19"/>
      <c r="E21" s="1"/>
    </row>
    <row r="22" spans="1:5" x14ac:dyDescent="0.25">
      <c r="A22" s="1"/>
      <c r="B22" s="93" t="s">
        <v>176</v>
      </c>
      <c r="C22" s="10">
        <f>'Fane 8. Skattesagen'!G15</f>
        <v>0</v>
      </c>
      <c r="D22" s="11" t="s">
        <v>3</v>
      </c>
      <c r="E22" s="1"/>
    </row>
    <row r="23" spans="1:5" x14ac:dyDescent="0.25">
      <c r="A23" s="1"/>
      <c r="B23" s="32" t="s">
        <v>191</v>
      </c>
      <c r="C23" s="12">
        <f>SUM(C14,C16,C18,C20,C22)</f>
        <v>71163782.728186786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tDyW85y7R43PMTvSbbi1H9cRYslT6VIOg+V002p0Lee6daQzRfFMzbQ+3e9Lx5CxsO5t1723zp5djnfhOxulAg==" saltValue="vK7v9OEGDOQIASIJkm5de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192</v>
      </c>
      <c r="C3" s="133"/>
      <c r="D3" s="133"/>
      <c r="E3" s="133"/>
      <c r="F3" s="133"/>
      <c r="G3" s="1"/>
    </row>
    <row r="4" spans="1:7" ht="29.2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219</v>
      </c>
      <c r="C8" s="27"/>
      <c r="D8" s="27"/>
      <c r="E8" s="27"/>
      <c r="F8" s="19"/>
      <c r="G8" s="1"/>
    </row>
    <row r="9" spans="1:7" ht="15" customHeight="1" x14ac:dyDescent="0.25">
      <c r="A9" s="1"/>
      <c r="B9" s="128" t="s">
        <v>193</v>
      </c>
      <c r="C9" s="129"/>
      <c r="D9" s="130"/>
      <c r="E9" s="7">
        <v>65573597.556174211</v>
      </c>
      <c r="F9" s="8" t="s">
        <v>3</v>
      </c>
      <c r="G9" s="1"/>
    </row>
    <row r="10" spans="1:7" ht="15" customHeight="1" x14ac:dyDescent="0.25">
      <c r="A10" s="1"/>
      <c r="B10" s="119" t="s">
        <v>39</v>
      </c>
      <c r="C10" s="120"/>
      <c r="D10" s="121"/>
      <c r="E10" s="7">
        <v>31983.197400000001</v>
      </c>
      <c r="F10" s="8" t="s">
        <v>3</v>
      </c>
      <c r="G10" s="1"/>
    </row>
    <row r="11" spans="1:7" ht="15" customHeight="1" x14ac:dyDescent="0.25">
      <c r="A11" s="1"/>
      <c r="B11" s="119" t="s">
        <v>40</v>
      </c>
      <c r="C11" s="120"/>
      <c r="D11" s="121"/>
      <c r="E11" s="9">
        <v>504566.59310000006</v>
      </c>
      <c r="F11" s="8" t="s">
        <v>3</v>
      </c>
      <c r="G11" s="1"/>
    </row>
    <row r="12" spans="1:7" ht="15" customHeight="1" x14ac:dyDescent="0.25">
      <c r="A12" s="1"/>
      <c r="B12" s="119" t="s">
        <v>27</v>
      </c>
      <c r="C12" s="120"/>
      <c r="D12" s="121"/>
      <c r="E12" s="9">
        <v>0</v>
      </c>
      <c r="F12" s="8" t="s">
        <v>3</v>
      </c>
      <c r="G12" s="1"/>
    </row>
    <row r="13" spans="1:7" ht="15" customHeight="1" x14ac:dyDescent="0.25">
      <c r="A13" s="1"/>
      <c r="B13" s="128" t="s">
        <v>26</v>
      </c>
      <c r="C13" s="129"/>
      <c r="D13" s="130"/>
      <c r="E13" s="9">
        <v>0</v>
      </c>
      <c r="F13" s="8" t="s">
        <v>3</v>
      </c>
      <c r="G13" s="1"/>
    </row>
    <row r="14" spans="1:7" ht="15" customHeight="1" x14ac:dyDescent="0.25">
      <c r="A14" s="1"/>
      <c r="B14" s="128" t="s">
        <v>29</v>
      </c>
      <c r="C14" s="129"/>
      <c r="D14" s="130"/>
      <c r="E14" s="9">
        <v>0</v>
      </c>
      <c r="F14" s="8" t="s">
        <v>3</v>
      </c>
      <c r="G14" s="1"/>
    </row>
    <row r="15" spans="1:7" ht="15" customHeight="1" x14ac:dyDescent="0.25">
      <c r="A15" s="1"/>
      <c r="B15" s="128" t="s">
        <v>28</v>
      </c>
      <c r="C15" s="129"/>
      <c r="D15" s="130"/>
      <c r="E15" s="9">
        <v>0</v>
      </c>
      <c r="F15" s="8" t="s">
        <v>3</v>
      </c>
      <c r="G15" s="1"/>
    </row>
    <row r="16" spans="1:7" ht="15" customHeight="1" x14ac:dyDescent="0.25">
      <c r="A16" s="1"/>
      <c r="B16" s="128" t="s">
        <v>19</v>
      </c>
      <c r="C16" s="129"/>
      <c r="D16" s="130"/>
      <c r="E16" s="9">
        <f>SUM(E9:E15)*'Fane 15. Nøgletal'!C14</f>
        <v>218163.48624402488</v>
      </c>
      <c r="F16" s="8" t="s">
        <v>3</v>
      </c>
      <c r="G16" s="1"/>
    </row>
    <row r="17" spans="1:7" ht="15" customHeight="1" x14ac:dyDescent="0.25">
      <c r="A17" s="1"/>
      <c r="B17" s="128" t="s">
        <v>10</v>
      </c>
      <c r="C17" s="129"/>
      <c r="D17" s="130"/>
      <c r="E17" s="9">
        <v>-471442.29708679725</v>
      </c>
      <c r="F17" s="8" t="s">
        <v>3</v>
      </c>
      <c r="G17" s="1"/>
    </row>
    <row r="18" spans="1:7" ht="15" customHeight="1" x14ac:dyDescent="0.25">
      <c r="A18" s="1"/>
      <c r="B18" s="128" t="s">
        <v>24</v>
      </c>
      <c r="C18" s="129"/>
      <c r="D18" s="130"/>
      <c r="E18" s="9">
        <f>-'Fane 4.1. Gen. krav - drift'!G39</f>
        <v>-182970.87559847292</v>
      </c>
      <c r="F18" s="8" t="s">
        <v>3</v>
      </c>
      <c r="G18" s="1"/>
    </row>
    <row r="19" spans="1:7" ht="15" customHeight="1" x14ac:dyDescent="0.25">
      <c r="A19" s="1"/>
      <c r="B19" s="128" t="s">
        <v>25</v>
      </c>
      <c r="C19" s="129"/>
      <c r="D19" s="130"/>
      <c r="E19" s="9">
        <f>-'Fane 4.2. Gen. krav - anlæg'!G37</f>
        <v>-868176.29841954599</v>
      </c>
      <c r="F19" s="8" t="s">
        <v>3</v>
      </c>
      <c r="G19" s="1"/>
    </row>
    <row r="20" spans="1:7" ht="15" customHeight="1" x14ac:dyDescent="0.25">
      <c r="A20" s="1"/>
      <c r="B20" s="52" t="s">
        <v>21</v>
      </c>
      <c r="C20" s="86"/>
      <c r="D20" s="94"/>
      <c r="E20" s="50">
        <f>SUM(E9:E19)</f>
        <v>64805721.361813419</v>
      </c>
      <c r="F20" s="51" t="s">
        <v>3</v>
      </c>
      <c r="G20" s="1"/>
    </row>
    <row r="21" spans="1:7" ht="15" customHeight="1" x14ac:dyDescent="0.25">
      <c r="A21" s="1"/>
      <c r="B21" s="32" t="s">
        <v>12</v>
      </c>
      <c r="C21" s="27"/>
      <c r="D21" s="27"/>
      <c r="E21" s="27"/>
      <c r="F21" s="19"/>
      <c r="G21" s="1"/>
    </row>
    <row r="22" spans="1:7" ht="15" customHeight="1" x14ac:dyDescent="0.25">
      <c r="A22" s="1"/>
      <c r="B22" s="122" t="s">
        <v>12</v>
      </c>
      <c r="C22" s="123"/>
      <c r="D22" s="124"/>
      <c r="E22" s="10">
        <v>1718157.4799724901</v>
      </c>
      <c r="F22" s="11" t="s">
        <v>3</v>
      </c>
      <c r="G22" s="1"/>
    </row>
    <row r="23" spans="1:7" ht="15" customHeight="1" x14ac:dyDescent="0.25">
      <c r="A23" s="1"/>
      <c r="B23" s="125" t="s">
        <v>86</v>
      </c>
      <c r="C23" s="126"/>
      <c r="D23" s="127"/>
      <c r="E23" s="27"/>
      <c r="F23" s="29"/>
      <c r="G23" s="1"/>
    </row>
    <row r="24" spans="1:7" ht="15" customHeight="1" x14ac:dyDescent="0.25">
      <c r="A24" s="1"/>
      <c r="B24" s="85" t="s">
        <v>86</v>
      </c>
      <c r="C24" s="37"/>
      <c r="D24" s="38"/>
      <c r="E24" s="10">
        <v>0</v>
      </c>
      <c r="F24" s="11" t="s">
        <v>3</v>
      </c>
      <c r="G24" s="1"/>
    </row>
    <row r="25" spans="1:7" x14ac:dyDescent="0.25">
      <c r="A25" s="1"/>
      <c r="B25" s="32" t="s">
        <v>85</v>
      </c>
      <c r="C25" s="27"/>
      <c r="D25" s="27"/>
      <c r="E25" s="27"/>
      <c r="F25" s="19"/>
      <c r="G25" s="1"/>
    </row>
    <row r="26" spans="1:7" ht="15" customHeight="1" x14ac:dyDescent="0.25">
      <c r="A26" s="1"/>
      <c r="B26" s="119" t="s">
        <v>81</v>
      </c>
      <c r="C26" s="120"/>
      <c r="D26" s="121"/>
      <c r="E26" s="77">
        <v>391729.59017816122</v>
      </c>
      <c r="F26" s="8" t="s">
        <v>3</v>
      </c>
      <c r="G26" s="1"/>
    </row>
    <row r="27" spans="1:7" ht="15" customHeight="1" x14ac:dyDescent="0.25">
      <c r="A27" s="1"/>
      <c r="B27" s="119" t="s">
        <v>82</v>
      </c>
      <c r="C27" s="120"/>
      <c r="D27" s="120"/>
      <c r="E27" s="77">
        <v>0</v>
      </c>
      <c r="F27" s="8" t="s">
        <v>3</v>
      </c>
      <c r="G27" s="1"/>
    </row>
    <row r="28" spans="1:7" ht="15" customHeight="1" x14ac:dyDescent="0.25">
      <c r="A28" s="1"/>
      <c r="B28" s="131" t="s">
        <v>87</v>
      </c>
      <c r="C28" s="132"/>
      <c r="D28" s="132"/>
      <c r="E28" s="39">
        <f>SUM(E26:E27)</f>
        <v>391729.59017816122</v>
      </c>
      <c r="F28" s="11" t="s">
        <v>3</v>
      </c>
      <c r="G28" s="1"/>
    </row>
    <row r="29" spans="1:7" ht="15" customHeight="1" x14ac:dyDescent="0.25">
      <c r="A29" s="1"/>
      <c r="B29" s="32" t="s">
        <v>143</v>
      </c>
      <c r="C29" s="32"/>
      <c r="D29" s="32"/>
      <c r="E29" s="27"/>
      <c r="F29" s="29"/>
      <c r="G29" s="1"/>
    </row>
    <row r="30" spans="1:7" ht="15" customHeight="1" x14ac:dyDescent="0.25">
      <c r="A30" s="1"/>
      <c r="B30" s="122" t="s">
        <v>142</v>
      </c>
      <c r="C30" s="123"/>
      <c r="D30" s="123"/>
      <c r="E30" s="39">
        <v>0</v>
      </c>
      <c r="F30" s="11" t="s">
        <v>3</v>
      </c>
      <c r="G30" s="1"/>
    </row>
    <row r="31" spans="1:7" x14ac:dyDescent="0.25">
      <c r="A31" s="1"/>
      <c r="B31" s="32" t="s">
        <v>123</v>
      </c>
      <c r="C31" s="27"/>
      <c r="D31" s="27"/>
      <c r="E31" s="27"/>
      <c r="F31" s="29"/>
      <c r="G31" s="1"/>
    </row>
    <row r="32" spans="1:7" ht="15.4" customHeight="1" x14ac:dyDescent="0.25">
      <c r="A32" s="1"/>
      <c r="B32" s="122" t="s">
        <v>123</v>
      </c>
      <c r="C32" s="123"/>
      <c r="D32" s="124"/>
      <c r="E32" s="39">
        <v>0</v>
      </c>
      <c r="F32" s="11" t="s">
        <v>3</v>
      </c>
      <c r="G32" s="1"/>
    </row>
    <row r="33" spans="1:7" ht="15.4" customHeight="1" x14ac:dyDescent="0.25">
      <c r="A33" s="1"/>
      <c r="B33" s="125" t="s">
        <v>175</v>
      </c>
      <c r="C33" s="126"/>
      <c r="D33" s="126"/>
      <c r="E33" s="126"/>
      <c r="F33" s="127"/>
      <c r="G33" s="1"/>
    </row>
    <row r="34" spans="1:7" ht="15.4" customHeight="1" x14ac:dyDescent="0.25">
      <c r="A34" s="1"/>
      <c r="B34" s="93" t="s">
        <v>176</v>
      </c>
      <c r="C34" s="10"/>
      <c r="D34" s="11"/>
      <c r="E34" s="10">
        <f>'Fane 8. Skattesagen'!G11</f>
        <v>0</v>
      </c>
      <c r="F34" s="11" t="s">
        <v>3</v>
      </c>
      <c r="G34" s="1"/>
    </row>
    <row r="35" spans="1:7" x14ac:dyDescent="0.25">
      <c r="A35" s="1"/>
      <c r="B35" s="32" t="s">
        <v>220</v>
      </c>
      <c r="C35" s="27"/>
      <c r="D35" s="19"/>
      <c r="E35" s="12">
        <f>SUM(E32,E30,E28,E24,E22,E20,E34)</f>
        <v>66915608.43196407</v>
      </c>
      <c r="F35" s="13" t="s">
        <v>3</v>
      </c>
      <c r="G35" s="1"/>
    </row>
    <row r="36" spans="1:7" ht="27" customHeight="1" x14ac:dyDescent="0.25">
      <c r="A36" s="1"/>
      <c r="B36" s="128" t="s">
        <v>224</v>
      </c>
      <c r="C36" s="129"/>
      <c r="D36" s="129"/>
      <c r="E36" s="129"/>
      <c r="F36" s="130"/>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B51" s="48"/>
      <c r="C51" s="48"/>
      <c r="D51" s="48"/>
      <c r="E51" s="48"/>
      <c r="F51" s="48"/>
      <c r="G51" s="48"/>
    </row>
    <row r="52" spans="1:7" x14ac:dyDescent="0.25">
      <c r="A52" s="48"/>
      <c r="B52" s="48"/>
      <c r="C52" s="48"/>
      <c r="D52" s="48"/>
      <c r="E52" s="48"/>
      <c r="F52" s="48"/>
      <c r="G52" s="48"/>
    </row>
  </sheetData>
  <sheetProtection algorithmName="SHA-512" hashValue="SWNOd0/hlnLN1ap/Of40o/rB07sysIqM+ZCkknu9e/medGuERlRfQxF9Y/wSi9IppBf8EHXLKfGuYpSf0T8APg==" saltValue="T1D1KdR5ygvBFihfodNCiQ=="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3" t="s">
        <v>109</v>
      </c>
      <c r="C2" s="133"/>
      <c r="D2" s="133"/>
      <c r="E2" s="133"/>
      <c r="F2" s="133"/>
      <c r="G2" s="133"/>
      <c r="H2" s="133"/>
      <c r="I2" s="1"/>
    </row>
    <row r="3" spans="1:9" ht="28.5" customHeight="1" x14ac:dyDescent="0.25">
      <c r="A3" s="1"/>
      <c r="B3" s="133"/>
      <c r="C3" s="133"/>
      <c r="D3" s="133"/>
      <c r="E3" s="133"/>
      <c r="F3" s="133"/>
      <c r="G3" s="133"/>
      <c r="H3" s="133"/>
      <c r="I3" s="1"/>
    </row>
    <row r="4" spans="1:9" x14ac:dyDescent="0.25">
      <c r="A4" s="1"/>
      <c r="B4" s="125" t="s">
        <v>52</v>
      </c>
      <c r="C4" s="126"/>
      <c r="D4" s="126"/>
      <c r="E4" s="126"/>
      <c r="F4" s="126"/>
      <c r="G4" s="126"/>
      <c r="H4" s="127"/>
      <c r="I4" s="1"/>
    </row>
    <row r="5" spans="1:9" x14ac:dyDescent="0.25">
      <c r="A5" s="1"/>
      <c r="B5" s="135" t="s">
        <v>41</v>
      </c>
      <c r="C5" s="136"/>
      <c r="D5" s="136"/>
      <c r="E5" s="136"/>
      <c r="F5" s="137"/>
      <c r="G5" s="72">
        <v>9301418.9065017179</v>
      </c>
      <c r="H5" s="14" t="s">
        <v>3</v>
      </c>
      <c r="I5" s="1"/>
    </row>
    <row r="6" spans="1:9" x14ac:dyDescent="0.25">
      <c r="A6" s="1"/>
      <c r="B6" s="128" t="s">
        <v>120</v>
      </c>
      <c r="C6" s="129"/>
      <c r="D6" s="129"/>
      <c r="E6" s="129"/>
      <c r="F6" s="130"/>
      <c r="G6" s="73">
        <v>0</v>
      </c>
      <c r="H6" s="14" t="s">
        <v>3</v>
      </c>
      <c r="I6" s="1"/>
    </row>
    <row r="7" spans="1:9" x14ac:dyDescent="0.25">
      <c r="A7" s="1"/>
      <c r="B7" s="135" t="s">
        <v>42</v>
      </c>
      <c r="C7" s="136"/>
      <c r="D7" s="136"/>
      <c r="E7" s="136"/>
      <c r="F7" s="137"/>
      <c r="G7" s="72">
        <f>SUM(G5:G6)*'Fane 15. Nøgletal'!C31</f>
        <v>186028.37813003437</v>
      </c>
      <c r="H7" s="14" t="s">
        <v>3</v>
      </c>
      <c r="I7" s="1"/>
    </row>
    <row r="8" spans="1:9" x14ac:dyDescent="0.25">
      <c r="A8" s="1"/>
      <c r="B8" s="32"/>
      <c r="C8" s="27"/>
      <c r="D8" s="27"/>
      <c r="E8" s="27"/>
      <c r="F8" s="27"/>
      <c r="G8" s="74"/>
      <c r="H8" s="19"/>
      <c r="I8" s="1"/>
    </row>
    <row r="9" spans="1:9" x14ac:dyDescent="0.25">
      <c r="A9" s="1"/>
      <c r="B9" s="1"/>
      <c r="C9" s="1"/>
      <c r="D9" s="1"/>
      <c r="E9" s="1"/>
      <c r="F9" s="1"/>
      <c r="G9" s="75"/>
      <c r="H9" s="1"/>
      <c r="I9" s="1"/>
    </row>
    <row r="10" spans="1:9" x14ac:dyDescent="0.25">
      <c r="A10" s="1"/>
      <c r="B10" s="125" t="s">
        <v>53</v>
      </c>
      <c r="C10" s="126"/>
      <c r="D10" s="126"/>
      <c r="E10" s="126"/>
      <c r="F10" s="126"/>
      <c r="G10" s="134"/>
      <c r="H10" s="127"/>
      <c r="I10" s="1"/>
    </row>
    <row r="11" spans="1:9" x14ac:dyDescent="0.25">
      <c r="A11" s="1"/>
      <c r="B11" s="135" t="s">
        <v>43</v>
      </c>
      <c r="C11" s="136"/>
      <c r="D11" s="136"/>
      <c r="E11" s="136"/>
      <c r="F11" s="137"/>
      <c r="G11" s="72">
        <f>(G5-G7)*(1+'Fane 15. Nøgletal'!C10)</f>
        <v>9274909.8626181893</v>
      </c>
      <c r="H11" s="14" t="s">
        <v>3</v>
      </c>
      <c r="I11" s="1"/>
    </row>
    <row r="12" spans="1:9" ht="15" customHeight="1" x14ac:dyDescent="0.25">
      <c r="A12" s="1"/>
      <c r="B12" s="135" t="s">
        <v>121</v>
      </c>
      <c r="C12" s="136"/>
      <c r="D12" s="136"/>
      <c r="E12" s="136"/>
      <c r="F12" s="137"/>
      <c r="G12" s="73">
        <v>0</v>
      </c>
      <c r="H12" s="14" t="s">
        <v>3</v>
      </c>
      <c r="I12" s="1"/>
    </row>
    <row r="13" spans="1:9" x14ac:dyDescent="0.25">
      <c r="A13" s="1"/>
      <c r="B13" s="128" t="s">
        <v>118</v>
      </c>
      <c r="C13" s="129"/>
      <c r="D13" s="129"/>
      <c r="E13" s="129"/>
      <c r="F13" s="130"/>
      <c r="G13" s="73">
        <v>0</v>
      </c>
      <c r="H13" s="14" t="s">
        <v>3</v>
      </c>
      <c r="I13" s="1"/>
    </row>
    <row r="14" spans="1:9" x14ac:dyDescent="0.25">
      <c r="A14" s="1"/>
      <c r="B14" s="138" t="s">
        <v>44</v>
      </c>
      <c r="C14" s="139"/>
      <c r="D14" s="139"/>
      <c r="E14" s="139"/>
      <c r="F14" s="140"/>
      <c r="G14" s="73">
        <v>0</v>
      </c>
      <c r="H14" s="14" t="s">
        <v>3</v>
      </c>
      <c r="I14" s="1"/>
    </row>
    <row r="15" spans="1:9" x14ac:dyDescent="0.25">
      <c r="A15" s="1"/>
      <c r="B15" s="135" t="s">
        <v>45</v>
      </c>
      <c r="C15" s="136"/>
      <c r="D15" s="136"/>
      <c r="E15" s="136"/>
      <c r="F15" s="137"/>
      <c r="G15" s="72">
        <f>SUM(G11:G14)*'Fane 15. Nøgletal'!C31</f>
        <v>185498.19725236378</v>
      </c>
      <c r="H15" s="14" t="s">
        <v>3</v>
      </c>
      <c r="I15" s="1"/>
    </row>
    <row r="16" spans="1:9" x14ac:dyDescent="0.25">
      <c r="A16" s="1"/>
      <c r="B16" s="32"/>
      <c r="C16" s="27"/>
      <c r="D16" s="27"/>
      <c r="E16" s="27"/>
      <c r="F16" s="27"/>
      <c r="G16" s="74"/>
      <c r="H16" s="19"/>
      <c r="I16" s="1"/>
    </row>
    <row r="17" spans="1:9" x14ac:dyDescent="0.25">
      <c r="A17" s="1"/>
      <c r="B17" s="1"/>
      <c r="C17" s="1"/>
      <c r="D17" s="1"/>
      <c r="E17" s="1"/>
      <c r="F17" s="1"/>
      <c r="G17" s="75"/>
      <c r="H17" s="1"/>
      <c r="I17" s="1"/>
    </row>
    <row r="18" spans="1:9" x14ac:dyDescent="0.25">
      <c r="A18" s="1"/>
      <c r="B18" s="125" t="s">
        <v>54</v>
      </c>
      <c r="C18" s="126"/>
      <c r="D18" s="126"/>
      <c r="E18" s="126"/>
      <c r="F18" s="126"/>
      <c r="G18" s="134"/>
      <c r="H18" s="127"/>
      <c r="I18" s="1"/>
    </row>
    <row r="19" spans="1:9" x14ac:dyDescent="0.25">
      <c r="A19" s="1"/>
      <c r="B19" s="135" t="s">
        <v>46</v>
      </c>
      <c r="C19" s="136"/>
      <c r="D19" s="136"/>
      <c r="E19" s="136"/>
      <c r="F19" s="137"/>
      <c r="G19" s="72">
        <f>(SUM(G11:G12,G14)-(G15))*(1+'Fane 15. Nøgletal'!C10)</f>
        <v>9248476.3695097286</v>
      </c>
      <c r="H19" s="14" t="s">
        <v>3</v>
      </c>
      <c r="I19" s="1"/>
    </row>
    <row r="20" spans="1:9" x14ac:dyDescent="0.25">
      <c r="A20" s="1"/>
      <c r="B20" s="138" t="s">
        <v>47</v>
      </c>
      <c r="C20" s="139"/>
      <c r="D20" s="139"/>
      <c r="E20" s="139"/>
      <c r="F20" s="140"/>
      <c r="G20" s="73">
        <v>0</v>
      </c>
      <c r="H20" s="14" t="s">
        <v>3</v>
      </c>
      <c r="I20" s="1"/>
    </row>
    <row r="21" spans="1:9" x14ac:dyDescent="0.25">
      <c r="A21" s="1"/>
      <c r="B21" s="135" t="s">
        <v>48</v>
      </c>
      <c r="C21" s="136"/>
      <c r="D21" s="136"/>
      <c r="E21" s="136"/>
      <c r="F21" s="137"/>
      <c r="G21" s="72">
        <f>SUM(G19:G20)*'Fane 15. Nøgletal'!C31</f>
        <v>184969.52739019456</v>
      </c>
      <c r="H21" s="14" t="s">
        <v>3</v>
      </c>
      <c r="I21" s="1"/>
    </row>
    <row r="22" spans="1:9" x14ac:dyDescent="0.25">
      <c r="A22" s="1"/>
      <c r="B22" s="32"/>
      <c r="C22" s="27"/>
      <c r="D22" s="27"/>
      <c r="E22" s="27"/>
      <c r="F22" s="27"/>
      <c r="G22" s="74"/>
      <c r="H22" s="19"/>
      <c r="I22" s="1"/>
    </row>
    <row r="23" spans="1:9" x14ac:dyDescent="0.25">
      <c r="A23" s="1"/>
      <c r="B23" s="1"/>
      <c r="C23" s="1"/>
      <c r="D23" s="1"/>
      <c r="E23" s="1"/>
      <c r="F23" s="1"/>
      <c r="G23" s="75"/>
      <c r="H23" s="1"/>
      <c r="I23" s="1"/>
    </row>
    <row r="24" spans="1:9" x14ac:dyDescent="0.25">
      <c r="A24" s="1"/>
      <c r="B24" s="125" t="s">
        <v>55</v>
      </c>
      <c r="C24" s="126"/>
      <c r="D24" s="126"/>
      <c r="E24" s="126"/>
      <c r="F24" s="126"/>
      <c r="G24" s="134"/>
      <c r="H24" s="127"/>
      <c r="I24" s="1"/>
    </row>
    <row r="25" spans="1:9" x14ac:dyDescent="0.25">
      <c r="A25" s="1"/>
      <c r="B25" s="135" t="s">
        <v>49</v>
      </c>
      <c r="C25" s="136"/>
      <c r="D25" s="136"/>
      <c r="E25" s="136"/>
      <c r="F25" s="137"/>
      <c r="G25" s="72">
        <f>(G19+G20-G21)*(1+'Fane 15. Nøgletal'!C12)</f>
        <v>9242057.9269092884</v>
      </c>
      <c r="H25" s="14" t="s">
        <v>3</v>
      </c>
      <c r="I25" s="1"/>
    </row>
    <row r="26" spans="1:9" x14ac:dyDescent="0.25">
      <c r="A26" s="1"/>
      <c r="B26" s="138" t="s">
        <v>50</v>
      </c>
      <c r="C26" s="139"/>
      <c r="D26" s="139"/>
      <c r="E26" s="139"/>
      <c r="F26" s="140"/>
      <c r="G26" s="73">
        <v>0</v>
      </c>
      <c r="H26" s="14" t="s">
        <v>3</v>
      </c>
      <c r="I26" s="1"/>
    </row>
    <row r="27" spans="1:9" x14ac:dyDescent="0.25">
      <c r="A27" s="1"/>
      <c r="B27" s="135" t="s">
        <v>51</v>
      </c>
      <c r="C27" s="136"/>
      <c r="D27" s="136"/>
      <c r="E27" s="136"/>
      <c r="F27" s="137"/>
      <c r="G27" s="72">
        <f>(G25+G26)*'Fane 15. Nøgletal'!C31</f>
        <v>184841.15853818576</v>
      </c>
      <c r="H27" s="14" t="s">
        <v>3</v>
      </c>
      <c r="I27" s="1"/>
    </row>
    <row r="28" spans="1:9" x14ac:dyDescent="0.25">
      <c r="A28" s="1"/>
      <c r="B28" s="32"/>
      <c r="C28" s="27"/>
      <c r="D28" s="27"/>
      <c r="E28" s="27"/>
      <c r="F28" s="27"/>
      <c r="G28" s="74"/>
      <c r="H28" s="19"/>
      <c r="I28" s="1"/>
    </row>
    <row r="29" spans="1:9" x14ac:dyDescent="0.25">
      <c r="A29" s="1"/>
      <c r="B29" s="1"/>
      <c r="C29" s="1"/>
      <c r="D29" s="1"/>
      <c r="E29" s="1"/>
      <c r="F29" s="1"/>
      <c r="G29" s="75"/>
      <c r="H29" s="1"/>
      <c r="I29" s="1"/>
    </row>
    <row r="30" spans="1:9" x14ac:dyDescent="0.25">
      <c r="A30" s="1"/>
      <c r="B30" s="125" t="s">
        <v>58</v>
      </c>
      <c r="C30" s="126"/>
      <c r="D30" s="126"/>
      <c r="E30" s="126"/>
      <c r="F30" s="126"/>
      <c r="G30" s="134"/>
      <c r="H30" s="127"/>
      <c r="I30" s="1"/>
    </row>
    <row r="31" spans="1:9" x14ac:dyDescent="0.25">
      <c r="A31" s="1"/>
      <c r="B31" s="135" t="s">
        <v>59</v>
      </c>
      <c r="C31" s="136"/>
      <c r="D31" s="136"/>
      <c r="E31" s="136"/>
      <c r="F31" s="137"/>
      <c r="G31" s="72">
        <f>(G25+G26-G27)*(1+'Fane 15. Nøgletal'!C12)</f>
        <v>9235643.9387080148</v>
      </c>
      <c r="H31" s="14" t="s">
        <v>3</v>
      </c>
      <c r="I31" s="1"/>
    </row>
    <row r="32" spans="1:9" x14ac:dyDescent="0.25">
      <c r="A32" s="1"/>
      <c r="B32" s="135" t="s">
        <v>137</v>
      </c>
      <c r="C32" s="136"/>
      <c r="D32" s="136"/>
      <c r="E32" s="136"/>
      <c r="F32" s="137"/>
      <c r="G32" s="72">
        <v>36263.906191800001</v>
      </c>
      <c r="H32" s="14" t="s">
        <v>3</v>
      </c>
      <c r="I32" s="1"/>
    </row>
    <row r="33" spans="1:9" x14ac:dyDescent="0.25">
      <c r="A33" s="1"/>
      <c r="B33" s="135" t="s">
        <v>60</v>
      </c>
      <c r="C33" s="136"/>
      <c r="D33" s="136"/>
      <c r="E33" s="136"/>
      <c r="F33" s="137"/>
      <c r="G33" s="72">
        <f>(G31+G32)*'Fane 15. Nøgletal'!C31</f>
        <v>185438.15689799629</v>
      </c>
      <c r="H33" s="14" t="s">
        <v>3</v>
      </c>
      <c r="I33" s="1"/>
    </row>
    <row r="34" spans="1:9" x14ac:dyDescent="0.25">
      <c r="A34" s="1"/>
      <c r="B34" s="32"/>
      <c r="C34" s="27"/>
      <c r="D34" s="27"/>
      <c r="E34" s="27"/>
      <c r="F34" s="27"/>
      <c r="G34" s="74"/>
      <c r="H34" s="19"/>
      <c r="I34" s="1"/>
    </row>
    <row r="35" spans="1:9" x14ac:dyDescent="0.25">
      <c r="A35" s="1"/>
      <c r="B35" s="1"/>
      <c r="C35" s="1"/>
      <c r="D35" s="1"/>
      <c r="E35" s="1"/>
      <c r="F35" s="1"/>
      <c r="G35" s="75"/>
      <c r="H35" s="1"/>
      <c r="I35" s="1"/>
    </row>
    <row r="36" spans="1:9" x14ac:dyDescent="0.25">
      <c r="A36" s="1"/>
      <c r="B36" s="125" t="s">
        <v>160</v>
      </c>
      <c r="C36" s="126"/>
      <c r="D36" s="126"/>
      <c r="E36" s="126"/>
      <c r="F36" s="126"/>
      <c r="G36" s="134"/>
      <c r="H36" s="127"/>
      <c r="I36" s="1"/>
    </row>
    <row r="37" spans="1:9" x14ac:dyDescent="0.25">
      <c r="A37" s="1"/>
      <c r="B37" s="135" t="s">
        <v>79</v>
      </c>
      <c r="C37" s="136"/>
      <c r="D37" s="136"/>
      <c r="E37" s="136"/>
      <c r="F37" s="137"/>
      <c r="G37" s="72">
        <f>(G31+G32-G33)*(1+'Fane 15. Nøgletal'!C14)</f>
        <v>9116455.0379722249</v>
      </c>
      <c r="H37" s="14" t="s">
        <v>3</v>
      </c>
      <c r="I37" s="1"/>
    </row>
    <row r="38" spans="1:9" x14ac:dyDescent="0.25">
      <c r="A38" s="1"/>
      <c r="B38" s="135" t="s">
        <v>164</v>
      </c>
      <c r="C38" s="136"/>
      <c r="D38" s="136"/>
      <c r="E38" s="136"/>
      <c r="F38" s="137"/>
      <c r="G38" s="72">
        <v>32088.741951420005</v>
      </c>
      <c r="H38" s="14" t="s">
        <v>3</v>
      </c>
      <c r="I38" s="1"/>
    </row>
    <row r="39" spans="1:9" x14ac:dyDescent="0.25">
      <c r="A39" s="1"/>
      <c r="B39" s="135" t="s">
        <v>162</v>
      </c>
      <c r="C39" s="136"/>
      <c r="D39" s="136"/>
      <c r="E39" s="136"/>
      <c r="F39" s="137"/>
      <c r="G39" s="72">
        <f>(G37+G38)*'Fane 15. Nøgletal'!C31</f>
        <v>182970.87559847292</v>
      </c>
      <c r="H39" s="14" t="s">
        <v>3</v>
      </c>
      <c r="I39" s="1"/>
    </row>
    <row r="40" spans="1:9" x14ac:dyDescent="0.25">
      <c r="A40" s="1"/>
      <c r="B40" s="32"/>
      <c r="C40" s="27"/>
      <c r="D40" s="27"/>
      <c r="E40" s="27"/>
      <c r="F40" s="27"/>
      <c r="G40" s="74"/>
      <c r="H40" s="19"/>
      <c r="I40" s="1"/>
    </row>
    <row r="41" spans="1:9" x14ac:dyDescent="0.25">
      <c r="A41" s="1"/>
      <c r="B41" s="1"/>
      <c r="C41" s="1"/>
      <c r="D41" s="1"/>
      <c r="E41" s="1"/>
      <c r="F41" s="1"/>
      <c r="G41" s="75"/>
      <c r="H41" s="1"/>
      <c r="I41" s="1"/>
    </row>
    <row r="42" spans="1:9" x14ac:dyDescent="0.25">
      <c r="A42" s="1"/>
      <c r="B42" s="125" t="s">
        <v>161</v>
      </c>
      <c r="C42" s="126"/>
      <c r="D42" s="126"/>
      <c r="E42" s="126"/>
      <c r="F42" s="126"/>
      <c r="G42" s="134"/>
      <c r="H42" s="127"/>
      <c r="I42" s="1"/>
    </row>
    <row r="43" spans="1:9" x14ac:dyDescent="0.25">
      <c r="A43" s="1"/>
      <c r="B43" s="135" t="s">
        <v>230</v>
      </c>
      <c r="C43" s="136"/>
      <c r="D43" s="136"/>
      <c r="E43" s="136"/>
      <c r="F43" s="137"/>
      <c r="G43" s="72">
        <f>(G37+G38-G39)*(1+'Fane 15. Nøgletal'!C14)</f>
        <v>8995159.2949094456</v>
      </c>
      <c r="H43" s="14" t="s">
        <v>3</v>
      </c>
      <c r="I43" s="1"/>
    </row>
    <row r="44" spans="1:9" x14ac:dyDescent="0.25">
      <c r="A44" s="1"/>
      <c r="B44" s="141" t="s">
        <v>232</v>
      </c>
      <c r="C44" s="142"/>
      <c r="D44" s="142"/>
      <c r="E44" s="142"/>
      <c r="F44" s="143"/>
      <c r="G44" s="76">
        <f>('Fane 2.1. Økonomisk ramme 2023'!C10+'Fane 2.1. Økonomisk ramme 2023'!C12+'Fane 2.1. Økonomisk ramme 2023'!C14)*(1+'Fane 15. Nøgletal'!C15)</f>
        <v>1963300.5754430403</v>
      </c>
      <c r="H44" s="14" t="s">
        <v>3</v>
      </c>
      <c r="I44" s="1"/>
    </row>
    <row r="45" spans="1:9" x14ac:dyDescent="0.25">
      <c r="A45" s="1"/>
      <c r="B45" s="135" t="s">
        <v>163</v>
      </c>
      <c r="C45" s="136"/>
      <c r="D45" s="136"/>
      <c r="E45" s="136"/>
      <c r="F45" s="137"/>
      <c r="G45" s="72">
        <f>SUM(G43:G44)*'Fane 15. Nøgletal'!C31</f>
        <v>219169.19740704974</v>
      </c>
      <c r="H45" s="14" t="s">
        <v>3</v>
      </c>
      <c r="I45" s="1"/>
    </row>
    <row r="46" spans="1:9" x14ac:dyDescent="0.25">
      <c r="A46" s="1"/>
      <c r="B46" s="32"/>
      <c r="C46" s="27"/>
      <c r="D46" s="27"/>
      <c r="E46" s="27"/>
      <c r="F46" s="27"/>
      <c r="G46" s="74"/>
      <c r="H46" s="19"/>
      <c r="I46" s="1"/>
    </row>
    <row r="47" spans="1:9" x14ac:dyDescent="0.25">
      <c r="A47" s="1"/>
      <c r="B47" s="1"/>
      <c r="C47" s="1"/>
      <c r="D47" s="1"/>
      <c r="E47" s="1"/>
      <c r="F47" s="1"/>
      <c r="G47" s="75"/>
      <c r="H47" s="1"/>
      <c r="I47" s="1"/>
    </row>
    <row r="48" spans="1:9" x14ac:dyDescent="0.25">
      <c r="A48" s="1"/>
      <c r="B48" s="1"/>
      <c r="C48" s="1"/>
      <c r="D48" s="1"/>
      <c r="E48" s="1"/>
      <c r="F48" s="1"/>
      <c r="G48" s="75"/>
      <c r="H48" s="1"/>
      <c r="I48" s="1"/>
    </row>
    <row r="49" spans="1:9" x14ac:dyDescent="0.25">
      <c r="A49" s="1"/>
      <c r="B49" s="1"/>
      <c r="C49" s="1"/>
      <c r="D49" s="1"/>
      <c r="E49" s="1"/>
      <c r="F49" s="1"/>
      <c r="G49" s="75"/>
      <c r="H49" s="1"/>
      <c r="I49" s="1"/>
    </row>
    <row r="50" spans="1:9" x14ac:dyDescent="0.25">
      <c r="A50" s="1"/>
      <c r="B50" s="1"/>
      <c r="C50" s="1"/>
      <c r="D50" s="1"/>
      <c r="E50" s="1"/>
      <c r="F50" s="1"/>
      <c r="G50" s="75"/>
      <c r="H50" s="1"/>
      <c r="I50" s="1"/>
    </row>
    <row r="51" spans="1:9" x14ac:dyDescent="0.25">
      <c r="A51" s="1"/>
      <c r="B51" s="125" t="s">
        <v>243</v>
      </c>
      <c r="C51" s="126"/>
      <c r="D51" s="126"/>
      <c r="E51" s="126"/>
      <c r="F51" s="126"/>
      <c r="G51" s="134"/>
      <c r="H51" s="127"/>
      <c r="I51" s="1"/>
    </row>
    <row r="52" spans="1:9" x14ac:dyDescent="0.25">
      <c r="A52" s="1"/>
      <c r="B52" s="135" t="s">
        <v>229</v>
      </c>
      <c r="C52" s="136"/>
      <c r="D52" s="136"/>
      <c r="E52" s="136"/>
      <c r="F52" s="137"/>
      <c r="G52" s="72">
        <f>(G43+G44-G45)*(1+'Fane 15. Nøgletal'!C15)</f>
        <v>11121609.420902295</v>
      </c>
      <c r="H52" s="14" t="s">
        <v>3</v>
      </c>
      <c r="I52" s="1"/>
    </row>
    <row r="53" spans="1:9" x14ac:dyDescent="0.25">
      <c r="A53" s="1"/>
      <c r="B53" s="135" t="s">
        <v>138</v>
      </c>
      <c r="C53" s="136"/>
      <c r="D53" s="136"/>
      <c r="E53" s="136"/>
      <c r="F53" s="137"/>
      <c r="G53" s="72">
        <f>(G52)*'Fane 15. Nøgletal'!C31</f>
        <v>222432.1884180459</v>
      </c>
      <c r="H53" s="14" t="s">
        <v>3</v>
      </c>
      <c r="I53" s="1"/>
    </row>
    <row r="54" spans="1:9" x14ac:dyDescent="0.25">
      <c r="A54" s="1"/>
      <c r="B54" s="32"/>
      <c r="C54" s="27"/>
      <c r="D54" s="27"/>
      <c r="E54" s="27"/>
      <c r="F54" s="27"/>
      <c r="G54" s="74"/>
      <c r="H54" s="19"/>
      <c r="I54" s="1"/>
    </row>
    <row r="55" spans="1:9" x14ac:dyDescent="0.25">
      <c r="A55" s="1"/>
      <c r="B55" s="1"/>
      <c r="C55" s="1"/>
      <c r="D55" s="1"/>
      <c r="E55" s="1"/>
      <c r="F55" s="1"/>
      <c r="G55" s="75"/>
      <c r="H55" s="1"/>
      <c r="I55" s="1"/>
    </row>
    <row r="56" spans="1:9" x14ac:dyDescent="0.25">
      <c r="A56" s="1"/>
      <c r="B56" s="125" t="s">
        <v>150</v>
      </c>
      <c r="C56" s="126"/>
      <c r="D56" s="126"/>
      <c r="E56" s="126"/>
      <c r="F56" s="126"/>
      <c r="G56" s="134"/>
      <c r="H56" s="127"/>
      <c r="I56" s="1"/>
    </row>
    <row r="57" spans="1:9" x14ac:dyDescent="0.25">
      <c r="A57" s="1"/>
      <c r="B57" s="88" t="s">
        <v>151</v>
      </c>
      <c r="C57" s="89"/>
      <c r="D57" s="89"/>
      <c r="E57" s="89"/>
      <c r="F57" s="90"/>
      <c r="G57" s="72">
        <f>(G52-G53)*(1+'Fane 15. Nøgletal'!C15)</f>
        <v>11287187.941960689</v>
      </c>
      <c r="H57" s="14" t="s">
        <v>3</v>
      </c>
      <c r="I57" s="1"/>
    </row>
    <row r="58" spans="1:9" x14ac:dyDescent="0.25">
      <c r="A58" s="1"/>
      <c r="B58" s="88" t="s">
        <v>152</v>
      </c>
      <c r="C58" s="89"/>
      <c r="D58" s="89"/>
      <c r="E58" s="89"/>
      <c r="F58" s="90"/>
      <c r="G58" s="72">
        <f>(G57)*'Fane 15. Nøgletal'!C31</f>
        <v>225743.75883921378</v>
      </c>
      <c r="H58" s="14" t="s">
        <v>3</v>
      </c>
      <c r="I58" s="1"/>
    </row>
    <row r="59" spans="1:9" x14ac:dyDescent="0.25">
      <c r="A59" s="1"/>
      <c r="B59" s="32"/>
      <c r="C59" s="27"/>
      <c r="D59" s="27"/>
      <c r="E59" s="27"/>
      <c r="F59" s="27"/>
      <c r="G59" s="74"/>
      <c r="H59" s="19"/>
      <c r="I59" s="1"/>
    </row>
    <row r="60" spans="1:9" x14ac:dyDescent="0.25">
      <c r="A60" s="1"/>
      <c r="B60" s="1"/>
      <c r="C60" s="1"/>
      <c r="D60" s="1"/>
      <c r="E60" s="1"/>
      <c r="F60" s="1"/>
      <c r="G60" s="75"/>
      <c r="H60" s="1"/>
      <c r="I60" s="1"/>
    </row>
    <row r="61" spans="1:9" x14ac:dyDescent="0.25">
      <c r="A61" s="1"/>
      <c r="B61" s="125" t="s">
        <v>194</v>
      </c>
      <c r="C61" s="126"/>
      <c r="D61" s="126"/>
      <c r="E61" s="126"/>
      <c r="F61" s="126"/>
      <c r="G61" s="134"/>
      <c r="H61" s="127"/>
      <c r="I61" s="1"/>
    </row>
    <row r="62" spans="1:9" x14ac:dyDescent="0.25">
      <c r="A62" s="1"/>
      <c r="B62" s="88" t="s">
        <v>195</v>
      </c>
      <c r="C62" s="89"/>
      <c r="D62" s="89"/>
      <c r="E62" s="89"/>
      <c r="F62" s="90"/>
      <c r="G62" s="72">
        <f>(G57-G58)*(1+'Fane 15. Nøgletal'!C15)</f>
        <v>11455231.596040599</v>
      </c>
      <c r="H62" s="14" t="s">
        <v>3</v>
      </c>
      <c r="I62" s="1"/>
    </row>
    <row r="63" spans="1:9" x14ac:dyDescent="0.25">
      <c r="A63" s="1"/>
      <c r="B63" s="88" t="s">
        <v>196</v>
      </c>
      <c r="C63" s="89"/>
      <c r="D63" s="89"/>
      <c r="E63" s="89"/>
      <c r="F63" s="90"/>
      <c r="G63" s="72">
        <f>(G62)*'Fane 15. Nøgletal'!C31</f>
        <v>229104.63192081198</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49"/>
    </row>
  </sheetData>
  <sheetProtection algorithmName="SHA-512" hashValue="o5HCrPDJu22t+0wChnRu99Kb41feJqfxgY1titrj4dbod2Vv/seHkhtYAG3rGEgqKnZ4+tXLYGsnLnu/CNMWrw==" saltValue="boj9B3G2EKJvGfMHLyzZZA=="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4" t="s">
        <v>110</v>
      </c>
      <c r="C1" s="144"/>
      <c r="D1" s="144"/>
      <c r="E1" s="144"/>
      <c r="F1" s="144"/>
      <c r="G1" s="144"/>
      <c r="H1" s="144"/>
      <c r="I1" s="1"/>
    </row>
    <row r="2" spans="1:9" ht="15" customHeight="1" x14ac:dyDescent="0.25">
      <c r="A2" s="1"/>
      <c r="B2" s="144"/>
      <c r="C2" s="144"/>
      <c r="D2" s="144"/>
      <c r="E2" s="144"/>
      <c r="F2" s="144"/>
      <c r="G2" s="144"/>
      <c r="H2" s="144"/>
      <c r="I2" s="1"/>
    </row>
    <row r="3" spans="1:9" ht="15" customHeight="1" x14ac:dyDescent="0.25">
      <c r="A3" s="1"/>
      <c r="B3" s="145"/>
      <c r="C3" s="145"/>
      <c r="D3" s="145"/>
      <c r="E3" s="145"/>
      <c r="F3" s="145"/>
      <c r="G3" s="145"/>
      <c r="H3" s="145"/>
      <c r="I3" s="1"/>
    </row>
    <row r="4" spans="1:9" x14ac:dyDescent="0.25">
      <c r="A4" s="1"/>
      <c r="B4" s="125" t="s">
        <v>56</v>
      </c>
      <c r="C4" s="126"/>
      <c r="D4" s="126"/>
      <c r="E4" s="126"/>
      <c r="F4" s="126"/>
      <c r="G4" s="126"/>
      <c r="H4" s="127"/>
      <c r="I4" s="1"/>
    </row>
    <row r="5" spans="1:9" x14ac:dyDescent="0.25">
      <c r="A5" s="1"/>
      <c r="B5" s="135" t="s">
        <v>61</v>
      </c>
      <c r="C5" s="136"/>
      <c r="D5" s="136"/>
      <c r="E5" s="136"/>
      <c r="F5" s="137"/>
      <c r="G5" s="72">
        <v>57697335.771467738</v>
      </c>
      <c r="H5" s="14" t="s">
        <v>3</v>
      </c>
      <c r="I5" s="1"/>
    </row>
    <row r="6" spans="1:9" x14ac:dyDescent="0.25">
      <c r="A6" s="1"/>
      <c r="B6" s="135" t="s">
        <v>57</v>
      </c>
      <c r="C6" s="136"/>
      <c r="D6" s="136"/>
      <c r="E6" s="136"/>
      <c r="F6" s="137"/>
      <c r="G6" s="72">
        <f>G5*'Fane 15. Nøgletal'!C20</f>
        <v>525045.75552035647</v>
      </c>
      <c r="H6" s="14" t="s">
        <v>3</v>
      </c>
      <c r="I6" s="1"/>
    </row>
    <row r="7" spans="1:9" x14ac:dyDescent="0.25">
      <c r="A7" s="1"/>
      <c r="B7" s="32"/>
      <c r="C7" s="27"/>
      <c r="D7" s="27"/>
      <c r="E7" s="27"/>
      <c r="F7" s="27"/>
      <c r="G7" s="74"/>
      <c r="H7" s="19"/>
      <c r="I7" s="1"/>
    </row>
    <row r="8" spans="1:9" x14ac:dyDescent="0.25">
      <c r="A8" s="1"/>
      <c r="B8" s="1"/>
      <c r="C8" s="1"/>
      <c r="D8" s="1"/>
      <c r="E8" s="1"/>
      <c r="F8" s="1"/>
      <c r="G8" s="75"/>
      <c r="H8" s="1"/>
      <c r="I8" s="1"/>
    </row>
    <row r="9" spans="1:9" x14ac:dyDescent="0.25">
      <c r="A9" s="1"/>
      <c r="B9" s="125" t="s">
        <v>62</v>
      </c>
      <c r="C9" s="126"/>
      <c r="D9" s="126"/>
      <c r="E9" s="126"/>
      <c r="F9" s="126"/>
      <c r="G9" s="134"/>
      <c r="H9" s="127"/>
      <c r="I9" s="1"/>
    </row>
    <row r="10" spans="1:9" x14ac:dyDescent="0.25">
      <c r="A10" s="1"/>
      <c r="B10" s="135" t="s">
        <v>63</v>
      </c>
      <c r="C10" s="136"/>
      <c r="D10" s="136"/>
      <c r="E10" s="136"/>
      <c r="F10" s="137"/>
      <c r="G10" s="72">
        <f>(G5-G6)*(1+'Fane 15. Nøgletal'!C10)</f>
        <v>58172805.091226466</v>
      </c>
      <c r="H10" s="14" t="s">
        <v>3</v>
      </c>
      <c r="I10" s="1"/>
    </row>
    <row r="11" spans="1:9" x14ac:dyDescent="0.25">
      <c r="A11" s="1"/>
      <c r="B11" s="135" t="s">
        <v>122</v>
      </c>
      <c r="C11" s="136"/>
      <c r="D11" s="136"/>
      <c r="E11" s="136"/>
      <c r="F11" s="137"/>
      <c r="G11" s="72">
        <v>874571.03581609926</v>
      </c>
      <c r="H11" s="14" t="s">
        <v>3</v>
      </c>
      <c r="I11" s="1"/>
    </row>
    <row r="12" spans="1:9" x14ac:dyDescent="0.25">
      <c r="A12" s="1"/>
      <c r="B12" s="138" t="s">
        <v>64</v>
      </c>
      <c r="C12" s="139"/>
      <c r="D12" s="139"/>
      <c r="E12" s="139"/>
      <c r="F12" s="140"/>
      <c r="G12" s="73">
        <v>0</v>
      </c>
      <c r="H12" s="14" t="s">
        <v>3</v>
      </c>
      <c r="I12" s="1"/>
    </row>
    <row r="13" spans="1:9" x14ac:dyDescent="0.25">
      <c r="A13" s="1"/>
      <c r="B13" s="135" t="s">
        <v>65</v>
      </c>
      <c r="C13" s="136"/>
      <c r="D13" s="136"/>
      <c r="E13" s="136"/>
      <c r="F13" s="137"/>
      <c r="G13" s="72">
        <f>SUM(G10:G12)*'Fane 15. Nøgletal'!C21</f>
        <v>1045138.5574486534</v>
      </c>
      <c r="H13" s="14" t="s">
        <v>3</v>
      </c>
      <c r="I13" s="1"/>
    </row>
    <row r="14" spans="1:9" x14ac:dyDescent="0.25">
      <c r="A14" s="1"/>
      <c r="B14" s="32"/>
      <c r="C14" s="27"/>
      <c r="D14" s="27"/>
      <c r="E14" s="27"/>
      <c r="F14" s="27"/>
      <c r="G14" s="74"/>
      <c r="H14" s="19"/>
      <c r="I14" s="1"/>
    </row>
    <row r="15" spans="1:9" x14ac:dyDescent="0.25">
      <c r="A15" s="1"/>
      <c r="B15" s="1"/>
      <c r="C15" s="1"/>
      <c r="D15" s="1"/>
      <c r="E15" s="1"/>
      <c r="F15" s="1"/>
      <c r="G15" s="75"/>
      <c r="H15" s="1"/>
      <c r="I15" s="1"/>
    </row>
    <row r="16" spans="1:9" x14ac:dyDescent="0.25">
      <c r="A16" s="1"/>
      <c r="B16" s="125" t="s">
        <v>66</v>
      </c>
      <c r="C16" s="126"/>
      <c r="D16" s="126"/>
      <c r="E16" s="126"/>
      <c r="F16" s="126"/>
      <c r="G16" s="134"/>
      <c r="H16" s="127"/>
      <c r="I16" s="1"/>
    </row>
    <row r="17" spans="1:9" x14ac:dyDescent="0.25">
      <c r="A17" s="1"/>
      <c r="B17" s="135" t="s">
        <v>67</v>
      </c>
      <c r="C17" s="136"/>
      <c r="D17" s="136"/>
      <c r="E17" s="136"/>
      <c r="F17" s="137"/>
      <c r="G17" s="72">
        <f>(SUM(G10:G12)-G13)*(1+'Fane 15. Nøgletal'!C10)</f>
        <v>59017276.727061801</v>
      </c>
      <c r="H17" s="14" t="s">
        <v>3</v>
      </c>
      <c r="I17" s="1"/>
    </row>
    <row r="18" spans="1:9" x14ac:dyDescent="0.25">
      <c r="A18" s="1"/>
      <c r="B18" s="138" t="s">
        <v>68</v>
      </c>
      <c r="C18" s="139"/>
      <c r="D18" s="139"/>
      <c r="E18" s="139"/>
      <c r="F18" s="140"/>
      <c r="G18" s="72">
        <v>230687.95422123995</v>
      </c>
      <c r="H18" s="14" t="s">
        <v>3</v>
      </c>
      <c r="I18" s="1"/>
    </row>
    <row r="19" spans="1:9" x14ac:dyDescent="0.25">
      <c r="A19" s="1"/>
      <c r="B19" s="135" t="s">
        <v>69</v>
      </c>
      <c r="C19" s="136"/>
      <c r="D19" s="136"/>
      <c r="E19" s="136"/>
      <c r="F19" s="137"/>
      <c r="G19" s="72">
        <f>G17*'Fane 15. Nøgletal'!C21+G18*'Fane 15. Nøgletal'!C22</f>
        <v>1046612.7832707186</v>
      </c>
      <c r="H19" s="14" t="s">
        <v>3</v>
      </c>
      <c r="I19" s="1"/>
    </row>
    <row r="20" spans="1:9" x14ac:dyDescent="0.25">
      <c r="A20" s="1"/>
      <c r="B20" s="32"/>
      <c r="C20" s="27"/>
      <c r="D20" s="27"/>
      <c r="E20" s="27"/>
      <c r="F20" s="27"/>
      <c r="G20" s="74"/>
      <c r="H20" s="19"/>
      <c r="I20" s="1"/>
    </row>
    <row r="21" spans="1:9" x14ac:dyDescent="0.25">
      <c r="A21" s="1"/>
      <c r="B21" s="1"/>
      <c r="C21" s="1"/>
      <c r="D21" s="1"/>
      <c r="E21" s="1"/>
      <c r="F21" s="1"/>
      <c r="G21" s="75"/>
      <c r="H21" s="1"/>
      <c r="I21" s="1"/>
    </row>
    <row r="22" spans="1:9" x14ac:dyDescent="0.25">
      <c r="A22" s="1"/>
      <c r="B22" s="125" t="s">
        <v>70</v>
      </c>
      <c r="C22" s="126"/>
      <c r="D22" s="126"/>
      <c r="E22" s="126"/>
      <c r="F22" s="126"/>
      <c r="G22" s="134"/>
      <c r="H22" s="127"/>
      <c r="I22" s="1"/>
    </row>
    <row r="23" spans="1:9" x14ac:dyDescent="0.25">
      <c r="A23" s="1"/>
      <c r="B23" s="135" t="s">
        <v>71</v>
      </c>
      <c r="C23" s="136"/>
      <c r="D23" s="136"/>
      <c r="E23" s="136"/>
      <c r="F23" s="137"/>
      <c r="G23" s="72">
        <f>(G17+G18-G19)*(1+'Fane 15. Nøgletal'!C12)</f>
        <v>59347918.530403174</v>
      </c>
      <c r="H23" s="14" t="s">
        <v>3</v>
      </c>
      <c r="I23" s="1"/>
    </row>
    <row r="24" spans="1:9" x14ac:dyDescent="0.25">
      <c r="A24" s="1"/>
      <c r="B24" s="138" t="s">
        <v>72</v>
      </c>
      <c r="C24" s="139"/>
      <c r="D24" s="139"/>
      <c r="E24" s="139"/>
      <c r="F24" s="140"/>
      <c r="G24" s="72">
        <v>735697.90392714017</v>
      </c>
      <c r="H24" s="14" t="s">
        <v>3</v>
      </c>
      <c r="I24" s="1"/>
    </row>
    <row r="25" spans="1:9" x14ac:dyDescent="0.25">
      <c r="A25" s="1"/>
      <c r="B25" s="135" t="s">
        <v>73</v>
      </c>
      <c r="C25" s="136"/>
      <c r="D25" s="136"/>
      <c r="E25" s="136"/>
      <c r="F25" s="137"/>
      <c r="G25" s="72">
        <f>(G23+G24)*'Fane 15. Nøgletal'!C23</f>
        <v>1706374.7067349809</v>
      </c>
      <c r="H25" s="14" t="s">
        <v>3</v>
      </c>
      <c r="I25" s="1"/>
    </row>
    <row r="26" spans="1:9" x14ac:dyDescent="0.25">
      <c r="A26" s="1"/>
      <c r="B26" s="32"/>
      <c r="C26" s="27"/>
      <c r="D26" s="27"/>
      <c r="E26" s="27"/>
      <c r="F26" s="27"/>
      <c r="G26" s="74"/>
      <c r="H26" s="19"/>
      <c r="I26" s="1"/>
    </row>
    <row r="27" spans="1:9" x14ac:dyDescent="0.25">
      <c r="A27" s="1"/>
      <c r="B27" s="1"/>
      <c r="C27" s="1"/>
      <c r="D27" s="1"/>
      <c r="E27" s="1"/>
      <c r="F27" s="1"/>
      <c r="G27" s="75"/>
      <c r="H27" s="1"/>
      <c r="I27" s="1"/>
    </row>
    <row r="28" spans="1:9" x14ac:dyDescent="0.25">
      <c r="A28" s="1"/>
      <c r="B28" s="125" t="s">
        <v>74</v>
      </c>
      <c r="C28" s="126"/>
      <c r="D28" s="126"/>
      <c r="E28" s="126"/>
      <c r="F28" s="126"/>
      <c r="G28" s="134"/>
      <c r="H28" s="127"/>
      <c r="I28" s="1"/>
    </row>
    <row r="29" spans="1:9" x14ac:dyDescent="0.25">
      <c r="A29" s="1"/>
      <c r="B29" s="135" t="s">
        <v>75</v>
      </c>
      <c r="C29" s="136"/>
      <c r="D29" s="136"/>
      <c r="E29" s="136"/>
      <c r="F29" s="137"/>
      <c r="G29" s="72">
        <f>(G23+G24-G25)*(1+'Fane 15. Nøgletal'!C12)</f>
        <v>59527273.389628969</v>
      </c>
      <c r="H29" s="14" t="s">
        <v>3</v>
      </c>
      <c r="I29" s="1"/>
    </row>
    <row r="30" spans="1:9" x14ac:dyDescent="0.25">
      <c r="A30" s="1"/>
      <c r="B30" s="135" t="s">
        <v>139</v>
      </c>
      <c r="C30" s="136"/>
      <c r="D30" s="136"/>
      <c r="E30" s="136"/>
      <c r="F30" s="137"/>
      <c r="G30" s="72">
        <v>129925.08749808</v>
      </c>
      <c r="H30" s="14" t="s">
        <v>3</v>
      </c>
      <c r="I30" s="1"/>
    </row>
    <row r="31" spans="1:9" x14ac:dyDescent="0.25">
      <c r="A31" s="1"/>
      <c r="B31" s="135" t="s">
        <v>76</v>
      </c>
      <c r="C31" s="136"/>
      <c r="D31" s="136"/>
      <c r="E31" s="136"/>
      <c r="F31" s="137"/>
      <c r="G31" s="72">
        <f>G29*'Fane 15. Nøgletal'!C23+G30*'Fane 15. Nøgletal'!C24</f>
        <v>1694147.5041716599</v>
      </c>
      <c r="H31" s="14" t="s">
        <v>3</v>
      </c>
      <c r="I31" s="1"/>
    </row>
    <row r="32" spans="1:9" x14ac:dyDescent="0.25">
      <c r="A32" s="1"/>
      <c r="B32" s="32"/>
      <c r="C32" s="27"/>
      <c r="D32" s="27"/>
      <c r="E32" s="27"/>
      <c r="F32" s="27"/>
      <c r="G32" s="74"/>
      <c r="H32" s="19"/>
      <c r="I32" s="1"/>
    </row>
    <row r="33" spans="1:9" x14ac:dyDescent="0.25">
      <c r="A33" s="1"/>
      <c r="B33" s="1"/>
      <c r="C33" s="1"/>
      <c r="D33" s="1"/>
      <c r="E33" s="1"/>
      <c r="F33" s="1"/>
      <c r="G33" s="75"/>
      <c r="H33" s="1"/>
      <c r="I33" s="1"/>
    </row>
    <row r="34" spans="1:9" x14ac:dyDescent="0.25">
      <c r="A34" s="1"/>
      <c r="B34" s="125" t="s">
        <v>165</v>
      </c>
      <c r="C34" s="126"/>
      <c r="D34" s="126"/>
      <c r="E34" s="126"/>
      <c r="F34" s="126"/>
      <c r="G34" s="134"/>
      <c r="H34" s="127"/>
      <c r="I34" s="1"/>
    </row>
    <row r="35" spans="1:9" x14ac:dyDescent="0.25">
      <c r="A35" s="1"/>
      <c r="B35" s="135" t="s">
        <v>78</v>
      </c>
      <c r="C35" s="136"/>
      <c r="D35" s="136"/>
      <c r="E35" s="136"/>
      <c r="F35" s="137"/>
      <c r="G35" s="72">
        <f>(G29+G30-G31)*(1+'Fane 15. Nøgletal'!C14)</f>
        <v>58154329.041166149</v>
      </c>
      <c r="H35" s="14" t="s">
        <v>3</v>
      </c>
      <c r="I35" s="1"/>
    </row>
    <row r="36" spans="1:9" x14ac:dyDescent="0.25">
      <c r="A36" s="1"/>
      <c r="B36" s="135" t="s">
        <v>167</v>
      </c>
      <c r="C36" s="136"/>
      <c r="D36" s="136"/>
      <c r="E36" s="136"/>
      <c r="F36" s="137"/>
      <c r="G36" s="72">
        <v>506231.66285723011</v>
      </c>
      <c r="H36" s="14" t="s">
        <v>3</v>
      </c>
      <c r="I36" s="1"/>
    </row>
    <row r="37" spans="1:9" x14ac:dyDescent="0.25">
      <c r="A37" s="1"/>
      <c r="B37" s="135" t="s">
        <v>166</v>
      </c>
      <c r="C37" s="136"/>
      <c r="D37" s="136"/>
      <c r="E37" s="136"/>
      <c r="F37" s="137"/>
      <c r="G37" s="72">
        <f>(G35+G36)*'Fane 15. Nøgletal'!C25</f>
        <v>868176.29841954599</v>
      </c>
      <c r="H37" s="14" t="s">
        <v>3</v>
      </c>
      <c r="I37" s="1"/>
    </row>
    <row r="38" spans="1:9" x14ac:dyDescent="0.25">
      <c r="A38" s="1"/>
      <c r="B38" s="32"/>
      <c r="C38" s="27"/>
      <c r="D38" s="27"/>
      <c r="E38" s="27"/>
      <c r="F38" s="27"/>
      <c r="G38" s="74"/>
      <c r="H38" s="19"/>
      <c r="I38" s="1"/>
    </row>
    <row r="39" spans="1:9" x14ac:dyDescent="0.25">
      <c r="A39" s="1"/>
      <c r="B39" s="1"/>
      <c r="C39" s="1"/>
      <c r="D39" s="1"/>
      <c r="E39" s="1"/>
      <c r="F39" s="1"/>
      <c r="G39" s="75"/>
      <c r="H39" s="1"/>
      <c r="I39" s="1"/>
    </row>
    <row r="40" spans="1:9" x14ac:dyDescent="0.25">
      <c r="A40" s="1"/>
      <c r="B40" s="125" t="s">
        <v>223</v>
      </c>
      <c r="C40" s="126"/>
      <c r="D40" s="126"/>
      <c r="E40" s="126"/>
      <c r="F40" s="126"/>
      <c r="G40" s="134"/>
      <c r="H40" s="127"/>
      <c r="I40" s="1"/>
    </row>
    <row r="41" spans="1:9" x14ac:dyDescent="0.25">
      <c r="A41" s="1"/>
      <c r="B41" s="135" t="s">
        <v>77</v>
      </c>
      <c r="C41" s="136"/>
      <c r="D41" s="136"/>
      <c r="E41" s="136"/>
      <c r="F41" s="137"/>
      <c r="G41" s="72">
        <f>(G35+G36-G37)*(1+'Fane 15. Nøgletal'!C14)</f>
        <v>57983099.274142332</v>
      </c>
      <c r="H41" s="14" t="s">
        <v>3</v>
      </c>
      <c r="I41" s="1"/>
    </row>
    <row r="42" spans="1:9" x14ac:dyDescent="0.25">
      <c r="A42" s="1"/>
      <c r="B42" s="43" t="s">
        <v>231</v>
      </c>
      <c r="C42" s="89"/>
      <c r="D42" s="89"/>
      <c r="E42" s="89"/>
      <c r="F42" s="90"/>
      <c r="G42" s="76">
        <f>('Fane 2.1. Økonomisk ramme 2023'!C11+'Fane 2.1. Økonomisk ramme 2023'!C13+'Fane 2.1. Økonomisk ramme 2023'!C15)*(1+'Fane 15. Nøgletal'!C15)</f>
        <v>268674.52302720002</v>
      </c>
      <c r="H42" s="14" t="s">
        <v>3</v>
      </c>
      <c r="I42" s="1"/>
    </row>
    <row r="43" spans="1:9" x14ac:dyDescent="0.25">
      <c r="A43" s="1"/>
      <c r="B43" s="135" t="s">
        <v>168</v>
      </c>
      <c r="C43" s="136"/>
      <c r="D43" s="136"/>
      <c r="E43" s="136"/>
      <c r="F43" s="137"/>
      <c r="G43" s="72">
        <f>(G41)*'Fane 15. Nøgletal'!C25+G42*'Fane 15. Nøgletal'!C26</f>
        <v>858149.86925730656</v>
      </c>
      <c r="H43" s="14" t="s">
        <v>3</v>
      </c>
      <c r="I43" s="1"/>
    </row>
    <row r="44" spans="1:9" x14ac:dyDescent="0.25">
      <c r="A44" s="1"/>
      <c r="B44" s="32"/>
      <c r="C44" s="27"/>
      <c r="D44" s="27"/>
      <c r="E44" s="27"/>
      <c r="F44" s="27"/>
      <c r="G44" s="74"/>
      <c r="H44" s="19"/>
      <c r="I44" s="1"/>
    </row>
    <row r="45" spans="1:9" x14ac:dyDescent="0.25">
      <c r="A45" s="1"/>
      <c r="B45" s="1"/>
      <c r="C45" s="1"/>
      <c r="D45" s="1"/>
      <c r="E45" s="1"/>
      <c r="F45" s="1"/>
      <c r="G45" s="75"/>
      <c r="H45" s="1"/>
      <c r="I45" s="1"/>
    </row>
    <row r="46" spans="1:9" x14ac:dyDescent="0.25">
      <c r="A46" s="1"/>
      <c r="B46" s="1"/>
      <c r="C46" s="1"/>
      <c r="D46" s="1"/>
      <c r="E46" s="1"/>
      <c r="F46" s="1"/>
      <c r="G46" s="75"/>
      <c r="H46" s="1"/>
      <c r="I46" s="1"/>
    </row>
    <row r="47" spans="1:9" x14ac:dyDescent="0.25">
      <c r="A47" s="1"/>
      <c r="B47" s="1"/>
      <c r="C47" s="1"/>
      <c r="D47" s="1"/>
      <c r="E47" s="1"/>
      <c r="F47" s="1"/>
      <c r="G47" s="75"/>
      <c r="H47" s="1"/>
      <c r="I47" s="1"/>
    </row>
    <row r="48" spans="1:9" x14ac:dyDescent="0.25">
      <c r="A48" s="1"/>
      <c r="B48" s="1"/>
      <c r="C48" s="1"/>
      <c r="D48" s="1"/>
      <c r="E48" s="1"/>
      <c r="F48" s="1"/>
      <c r="G48" s="75"/>
      <c r="H48" s="1"/>
      <c r="I48" s="1"/>
    </row>
    <row r="49" spans="1:9" x14ac:dyDescent="0.25">
      <c r="A49" s="1"/>
      <c r="B49" s="1"/>
      <c r="C49" s="1"/>
      <c r="D49" s="1"/>
      <c r="E49" s="1"/>
      <c r="F49" s="1"/>
      <c r="G49" s="75"/>
      <c r="H49" s="1"/>
      <c r="I49" s="1"/>
    </row>
    <row r="50" spans="1:9" x14ac:dyDescent="0.25">
      <c r="A50" s="1"/>
      <c r="B50" s="1"/>
      <c r="C50" s="1"/>
      <c r="D50" s="1"/>
      <c r="E50" s="1"/>
      <c r="F50" s="1"/>
      <c r="G50" s="75"/>
      <c r="H50" s="1"/>
      <c r="I50" s="1"/>
    </row>
    <row r="51" spans="1:9" x14ac:dyDescent="0.25">
      <c r="A51" s="1"/>
      <c r="B51" s="1"/>
      <c r="C51" s="1"/>
      <c r="D51" s="1"/>
      <c r="E51" s="1"/>
      <c r="F51" s="1"/>
      <c r="G51" s="75"/>
      <c r="H51" s="1"/>
      <c r="I51" s="1"/>
    </row>
    <row r="52" spans="1:9" x14ac:dyDescent="0.25">
      <c r="A52" s="1"/>
      <c r="B52" s="125" t="s">
        <v>244</v>
      </c>
      <c r="C52" s="126"/>
      <c r="D52" s="126"/>
      <c r="E52" s="126"/>
      <c r="F52" s="126"/>
      <c r="G52" s="134"/>
      <c r="H52" s="127"/>
      <c r="I52" s="1"/>
    </row>
    <row r="53" spans="1:9" x14ac:dyDescent="0.25">
      <c r="A53" s="1"/>
      <c r="B53" s="135" t="s">
        <v>140</v>
      </c>
      <c r="C53" s="136"/>
      <c r="D53" s="136"/>
      <c r="E53" s="136"/>
      <c r="F53" s="137"/>
      <c r="G53" s="72">
        <f>(G41+G42-G43)*(1+'Fane 15. Nøgletal'!C15)</f>
        <v>59436836.939745903</v>
      </c>
      <c r="H53" s="14" t="s">
        <v>3</v>
      </c>
      <c r="I53" s="1"/>
    </row>
    <row r="54" spans="1:9" x14ac:dyDescent="0.25">
      <c r="A54" s="1"/>
      <c r="B54" s="135" t="s">
        <v>141</v>
      </c>
      <c r="C54" s="136"/>
      <c r="D54" s="136"/>
      <c r="E54" s="136"/>
      <c r="F54" s="137"/>
      <c r="G54" s="72">
        <f>(G53)*'Fane 15. Nøgletal'!C26</f>
        <v>0</v>
      </c>
      <c r="H54" s="14" t="s">
        <v>3</v>
      </c>
      <c r="I54" s="1"/>
    </row>
    <row r="55" spans="1:9" x14ac:dyDescent="0.25">
      <c r="A55" s="1"/>
      <c r="B55" s="32"/>
      <c r="C55" s="27"/>
      <c r="D55" s="27"/>
      <c r="E55" s="27"/>
      <c r="F55" s="27"/>
      <c r="G55" s="74"/>
      <c r="H55" s="19"/>
      <c r="I55" s="1"/>
    </row>
    <row r="56" spans="1:9" x14ac:dyDescent="0.25">
      <c r="A56" s="1"/>
      <c r="B56" s="1"/>
      <c r="C56" s="1"/>
      <c r="D56" s="1"/>
      <c r="E56" s="1"/>
      <c r="F56" s="1"/>
      <c r="G56" s="75"/>
      <c r="H56" s="1"/>
      <c r="I56" s="1"/>
    </row>
    <row r="57" spans="1:9" x14ac:dyDescent="0.25">
      <c r="A57" s="1"/>
      <c r="B57" s="125" t="s">
        <v>153</v>
      </c>
      <c r="C57" s="126"/>
      <c r="D57" s="126"/>
      <c r="E57" s="126"/>
      <c r="F57" s="126"/>
      <c r="G57" s="134"/>
      <c r="H57" s="127"/>
      <c r="I57" s="1"/>
    </row>
    <row r="58" spans="1:9" x14ac:dyDescent="0.25">
      <c r="A58" s="1"/>
      <c r="B58" s="135" t="s">
        <v>173</v>
      </c>
      <c r="C58" s="136"/>
      <c r="D58" s="136"/>
      <c r="E58" s="136"/>
      <c r="F58" s="137"/>
      <c r="G58" s="72">
        <f>(G53-G54)*(1+'Fane 15. Nøgletal'!C15)</f>
        <v>61552788.334800862</v>
      </c>
      <c r="H58" s="14" t="s">
        <v>3</v>
      </c>
      <c r="I58" s="1"/>
    </row>
    <row r="59" spans="1:9" x14ac:dyDescent="0.25">
      <c r="A59" s="1"/>
      <c r="B59" s="135" t="s">
        <v>174</v>
      </c>
      <c r="C59" s="136"/>
      <c r="D59" s="136"/>
      <c r="E59" s="136"/>
      <c r="F59" s="137"/>
      <c r="G59" s="72">
        <f>(G58)*'Fane 15. Nøgletal'!C26</f>
        <v>0</v>
      </c>
      <c r="H59" s="14" t="s">
        <v>3</v>
      </c>
      <c r="I59" s="1"/>
    </row>
    <row r="60" spans="1:9" x14ac:dyDescent="0.25">
      <c r="A60" s="1"/>
      <c r="B60" s="32"/>
      <c r="C60" s="27"/>
      <c r="D60" s="27"/>
      <c r="E60" s="27"/>
      <c r="F60" s="27"/>
      <c r="G60" s="74"/>
      <c r="H60" s="19"/>
      <c r="I60" s="1"/>
    </row>
    <row r="61" spans="1:9" x14ac:dyDescent="0.25">
      <c r="A61" s="1"/>
      <c r="B61" s="1"/>
      <c r="C61" s="1"/>
      <c r="D61" s="1"/>
      <c r="E61" s="1"/>
      <c r="F61" s="1"/>
      <c r="G61" s="75"/>
      <c r="H61" s="1"/>
      <c r="I61" s="1"/>
    </row>
    <row r="62" spans="1:9" x14ac:dyDescent="0.25">
      <c r="A62" s="1"/>
      <c r="B62" s="125" t="s">
        <v>197</v>
      </c>
      <c r="C62" s="126"/>
      <c r="D62" s="126"/>
      <c r="E62" s="126"/>
      <c r="F62" s="126"/>
      <c r="G62" s="134"/>
      <c r="H62" s="127"/>
      <c r="I62" s="1"/>
    </row>
    <row r="63" spans="1:9" x14ac:dyDescent="0.25">
      <c r="A63" s="1"/>
      <c r="B63" s="135" t="s">
        <v>198</v>
      </c>
      <c r="C63" s="136"/>
      <c r="D63" s="136"/>
      <c r="E63" s="136"/>
      <c r="F63" s="137"/>
      <c r="G63" s="72">
        <f>(G58-G59)*(1+'Fane 15. Nøgletal'!C15)</f>
        <v>63744067.599519774</v>
      </c>
      <c r="H63" s="14" t="s">
        <v>3</v>
      </c>
      <c r="I63" s="1"/>
    </row>
    <row r="64" spans="1:9" x14ac:dyDescent="0.25">
      <c r="A64" s="1"/>
      <c r="B64" s="135" t="s">
        <v>199</v>
      </c>
      <c r="C64" s="136"/>
      <c r="D64" s="136"/>
      <c r="E64" s="136"/>
      <c r="F64" s="137"/>
      <c r="G64" s="72">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KmeKZgjLcatKx60C7Mo+WE16dkuGpQsUr6HhuR/Cb3BlutEN5qh6pzwMt++tWceVbE5f85dDHuVuNNjcHG6YIQ==" saltValue="C86W/OYWCuK1/0EcQtvJfA=="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88</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47" t="s">
        <v>10</v>
      </c>
      <c r="C8" s="147"/>
      <c r="D8" s="147"/>
      <c r="E8" s="147"/>
      <c r="F8" s="147"/>
      <c r="G8" s="147"/>
      <c r="H8" s="1"/>
    </row>
    <row r="9" spans="1:8" x14ac:dyDescent="0.25">
      <c r="A9" s="1"/>
      <c r="B9" s="148" t="s">
        <v>154</v>
      </c>
      <c r="C9" s="148"/>
      <c r="D9" s="148"/>
      <c r="E9" s="148"/>
      <c r="F9" s="148"/>
      <c r="G9" s="35">
        <v>7.1077084757120643E-3</v>
      </c>
      <c r="H9" s="1"/>
    </row>
    <row r="10" spans="1:8" x14ac:dyDescent="0.25">
      <c r="A10" s="1"/>
      <c r="B10" s="149"/>
      <c r="C10" s="150"/>
      <c r="D10" s="150"/>
      <c r="E10" s="150"/>
      <c r="F10" s="150"/>
      <c r="G10" s="151"/>
      <c r="H10" s="1"/>
    </row>
    <row r="11" spans="1:8" ht="29.25" customHeight="1" x14ac:dyDescent="0.25">
      <c r="A11" s="1"/>
      <c r="B11" s="146" t="s">
        <v>238</v>
      </c>
      <c r="C11" s="146"/>
      <c r="D11" s="146"/>
      <c r="E11" s="146"/>
      <c r="F11" s="146"/>
      <c r="G11" s="146"/>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pBPGtH8PDvIJL67VVmKkx9FjUAdSgoBEarQ/3uZ3rls6kAV5nlNaplNPnneCOjQZ1HQvgL089kdy5jV5BCHK0A==" saltValue="6uKTUJ7dNtO8aftYGvsb/A==" spinCount="100000" sheet="1" objects="1" scenarios="1"/>
  <mergeCells count="5">
    <mergeCell ref="B11:G11"/>
    <mergeCell ref="B3:G4"/>
    <mergeCell ref="B8:G8"/>
    <mergeCell ref="B9:F9"/>
    <mergeCell ref="B10:G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2022-12-01T08:24:37Z</dcterms:modified>
</cp:coreProperties>
</file>