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Lyngby-Taarbæk Vand AS (V126)\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4" i="37" l="1"/>
  <c r="C14" i="37" l="1"/>
  <c r="F15" i="11" l="1"/>
  <c r="F16" i="11"/>
  <c r="F17" i="11"/>
  <c r="F18" i="11"/>
  <c r="F19" i="11"/>
  <c r="F20" i="11"/>
  <c r="F21" i="11"/>
  <c r="F22" i="11"/>
  <c r="F23" i="11"/>
  <c r="E17" i="32" l="1"/>
  <c r="E16" i="32"/>
  <c r="E32" i="27" l="1"/>
  <c r="C19" i="23"/>
  <c r="C19" i="22"/>
  <c r="C19" i="15"/>
  <c r="C31" i="2"/>
  <c r="G18" i="40" l="1"/>
  <c r="E25" i="32" l="1"/>
  <c r="E29" i="32" s="1"/>
  <c r="E31" i="32" s="1"/>
  <c r="C17" i="15" l="1"/>
  <c r="C29" i="2"/>
  <c r="F11" i="11"/>
  <c r="F12" i="11"/>
  <c r="F13" i="11"/>
  <c r="F14" i="11"/>
  <c r="F24" i="11"/>
  <c r="F10" i="11"/>
  <c r="E12" i="39" l="1"/>
  <c r="C12" i="39"/>
  <c r="E11" i="29"/>
  <c r="E12" i="29" s="1"/>
  <c r="C14" i="2" s="1"/>
  <c r="C11" i="29"/>
  <c r="J25" i="11"/>
  <c r="H25" i="11"/>
  <c r="C14" i="19"/>
  <c r="C15" i="19" l="1"/>
  <c r="F25" i="11" l="1"/>
  <c r="E10" i="37" s="1"/>
  <c r="C10" i="37"/>
  <c r="C15" i="37" s="1"/>
  <c r="C15" i="23" l="1"/>
  <c r="C15" i="22" l="1"/>
  <c r="C15" i="15"/>
  <c r="C12" i="29"/>
  <c r="G36" i="36" l="1"/>
  <c r="G36" i="30"/>
  <c r="G6" i="30" l="1"/>
  <c r="E13" i="39" l="1"/>
  <c r="C13" i="39"/>
  <c r="C23" i="2" s="1"/>
  <c r="C25" i="2" s="1"/>
  <c r="G10" i="30" l="1"/>
  <c r="G12" i="30" s="1"/>
  <c r="E15" i="37" l="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<sst xmlns="http://schemas.openxmlformats.org/spreadsheetml/2006/main" count="585" uniqueCount="268">
  <si>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</si>
  <si>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</si>
  <si>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</si>
  <si>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</si>
  <si>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</si>
  <si>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</si>
  <si>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</si>
  <si>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</si>
  <si>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</si>
  <si>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</si>
  <si>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</si>
  <si>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</si>
  <si>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</si>
  <si>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</si>
  <si>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</si>
  <si>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</si>
  <si>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</si>
  <si>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</si>
  <si>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</si>
  <si>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</si>
  <si>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</si>
  <si>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</si>
  <si>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</si>
  <si>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</si>
  <si>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</si>
  <si>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</si>
  <si>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</si>
  <si>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</si>
  <si>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</si>
  <si>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</si>
  <si>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</si>
  <si>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</si>
  <si>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</si>
  <si>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</si>
  <si>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</si>
  <si>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</si>
  <si>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</si>
  <si>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</si>
  <si>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</si>
  <si>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</si>
  <si>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</si>
  <si>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</si>
  <si>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</si>
  <si>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</si>
  <si>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</si>
  <si>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</si>
  <si>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</si>
  <si>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</si>
  <si>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</si>
  <si>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</si>
  <si>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</si>
  <si>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</si>
  <si>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</si>
  <si>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</si>
  <si>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</si>
  <si>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</si>
  <si>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</si>
  <si>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</si>
  <si>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</si>
  <si>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</si>
  <si>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</si>
  <si>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</si>
  <si>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</si>
  <si>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</si>
  <si>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</si>
  <si>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</si>
  <si>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</si>
  <si>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</si>
  <si>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</si>
  <si>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</si>
  <si>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</si>
  <si>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</si>
  <si>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</si>
  <si>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</si>
  <si>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</si>
  <si>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</si>
  <si>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</si>
  <si>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</si>
  <si>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</si>
  <si>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</si>
  <si>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</si>
  <si>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</si>
  <si>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</si>
  <si>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</si>
  <si>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</si>
  <si>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</si>
  <si>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</si>
  <si>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</si>
  <si>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</si>
  <si>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</si>
  <si>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</si>
  <si>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</si>
  <si>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</si>
  <si>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</si>
  <si>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</si>
  <si>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</si>
  <si>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</si>
  <si>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</si>
  <si>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</si>
  <si>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</si>
  <si>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</si>
  <si>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</si>
  <si>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</si>
  <si>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</si>
  <si>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</si>
  <si>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</si>
  <si>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</si>
  <si>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</si>
  <si>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</si>
  <si>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</si>
  <si>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</si>
  <si>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</si>
  <si>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</si>
  <si>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</si>
  <si>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</si>
  <si>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</si>
  <si>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</si>
  <si>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</si>
  <si>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</si>
  <si>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</si>
  <si>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</si>
  <si>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</si>
  <si>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</si>
  <si>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</si>
  <si>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</si>
  <si>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</si>
  <si>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</si>
  <si>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</si>
  <si>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</si>
  <si>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</si>
  <si>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</si>
  <si>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</si>
  <si>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</si>
  <si>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</si>
  <si>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</si>
  <si>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</si>
  <si>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</si>
  <si>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</si>
  <si>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</si>
  <si>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</si>
  <si>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</si>
  <si>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</si>
  <si>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</si>
  <si>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</si>
  <si>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</si>
  <si>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</si>
  <si>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</si>
  <si>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</si>
  <si>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</si>
  <si>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</si>
  <si>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</si>
  <si>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</si>
  <si>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</si>
  <si>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</si>
  <si>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</si>
  <si>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</si>
  <si>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</si>
  <si>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</si>
  <si>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</si>
  <si>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</si>
  <si>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</si>
  <si>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</si>
  <si>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</si>
  <si>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</si>
  <si>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</si>
  <si>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</si>
  <si>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</si>
  <si>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</si>
  <si>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</si>
  <si>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</si>
  <si>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</si>
  <si>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</si>
  <si>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</si>
  <si>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</si>
  <si>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</si>
  <si>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</si>
  <si>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</si>
  <si>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</si>
  <si>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</si>
  <si>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</si>
  <si>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</si>
  <si>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</si>
  <si>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</si>
  <si>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</si>
  <si>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</si>
  <si>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</si>
  <si>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</si>
  <si>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</si>
  <si>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</si>
  <si>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</si>
  <si>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</si>
  <si>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</si>
  <si>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</si>
  <si>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</si>
  <si>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</si>
  <si>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</si>
  <si>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</si>
  <si>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</si>
  <si>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</si>
  <si>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</si>
  <si>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</si>
  <si>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</si>
  <si>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</si>
  <si>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</si>
  <si>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</si>
  <si>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</si>
  <si>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</si>
  <si>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</si>
  <si>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</si>
  <si>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</si>
  <si>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</si>
  <si>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</si>
  <si>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</si>
  <si>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</si>
  <si>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</si>
  <si>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</si>
  <si>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</si>
  <si>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</si>
  <si>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</si>
  <si>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</si>
  <si>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</si>
  <si>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</si>
  <si>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</si>
  <si>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</si>
  <si>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</si>
  <si>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</si>
  <si>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</si>
  <si>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</si>
  <si>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</si>
  <si>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</si>
  <si>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Afgift for ledningsført vand</t>
  </si>
  <si>
    <t>Afgift til Forsyningssekretariatet</t>
  </si>
  <si>
    <t>Køb af ydelser og produkter fra andre vandselskaber reguleret af vandsektorloven</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</si>
  <si>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</si>
  <si>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</si>
  <si>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</si>
  <si>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</si>
  <si>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</si>
  <si>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</si>
  <si>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</si>
  <si>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</si>
  <si>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Omlægning</t>
  </si>
  <si>
    <t>Udvidelse af forsyningsområdet</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</si>
  <si>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</si>
  <si>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</si>
  <si>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</si>
  <si>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</si>
  <si>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</si>
  <si>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</si>
  <si>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</si>
  <si>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</si>
  <si>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</si>
  <si>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</si>
  <si>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Afregningsmålere, mekaniske</t>
  </si>
  <si>
    <t>Arbejdsplads</t>
  </si>
  <si>
    <t>Elanlæg - vandværk</t>
  </si>
  <si>
    <t>Etageareal kontor og mandskabsfaciliteter</t>
  </si>
  <si>
    <t>Etageareal vandbehandlingsbygning</t>
  </si>
  <si>
    <t>Filteranlæg, trykfiltre, dobbelt filtrering</t>
  </si>
  <si>
    <t>Sikring, avanceret (hegne, porte og overvågningssystemer), SRO</t>
  </si>
  <si>
    <t>Skyllevand-/slamhåndteringsanlæg - lukkede betonbeholdere</t>
  </si>
  <si>
    <t>SRO-anlæg, vandværk</t>
  </si>
  <si>
    <t>Udpumpningsanlæg, Freqvensomformer</t>
  </si>
  <si>
    <t>Udpumpningsanlæg, rentvandspumper på vandværk</t>
  </si>
  <si>
    <t>Ventiler på Ø 250 mm &lt; Ledningsnet ≤ Ø 500mm</t>
  </si>
  <si>
    <t>Ø 250 mm &lt; Ledningsnet ≤ Ø 500mm</t>
  </si>
  <si>
    <t>Ingen engangstillæg</t>
  </si>
  <si>
    <t>Tillæg til ekstraordinær ledningsrenovering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</si>
</sst>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165" fontId="8" fillId="8" borderId="1" xfId="1"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1" t="s">
        <v>4</v>
      </c>
      <c r="E6" s="81"/>
      <c r="F6" s="81"/>
      <c r="G6" s="81"/>
      <c r="H6" s="3"/>
      <c r="I6" s="1"/>
    </row>
    <row r="7" spans="1:9" ht="15" customHeight="1" x14ac:dyDescent="0.25">
      <c r="A7" s="1"/>
      <c r="B7" s="1"/>
      <c r="C7" s="3"/>
      <c r="D7" s="81"/>
      <c r="E7" s="81"/>
      <c r="F7" s="81"/>
      <c r="G7" s="81"/>
      <c r="H7" s="3"/>
      <c r="I7" s="1"/>
    </row>
    <row r="8" spans="1:9" ht="15.75" x14ac:dyDescent="0.25">
      <c r="A8" s="1"/>
      <c r="B8" s="1"/>
      <c r="C8" s="4"/>
      <c r="D8" s="86" t="s">
        <v>194</v>
      </c>
      <c r="E8" s="86"/>
      <c r="F8" s="86"/>
      <c r="G8" s="86"/>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5" t="s">
        <v>5</v>
      </c>
      <c r="E11" s="85"/>
      <c r="F11" s="85"/>
      <c r="G11" s="85"/>
      <c r="H11" s="5"/>
      <c r="I11" s="1"/>
    </row>
    <row r="12" spans="1:9" x14ac:dyDescent="0.25">
      <c r="A12" s="1"/>
      <c r="B12" s="1"/>
      <c r="C12" s="1"/>
      <c r="D12" s="1"/>
      <c r="E12" s="1"/>
      <c r="F12" s="1"/>
      <c r="G12" s="1"/>
      <c r="H12" s="1"/>
      <c r="I12" s="1"/>
    </row>
    <row r="13" spans="1:9" x14ac:dyDescent="0.25">
      <c r="A13" s="1"/>
      <c r="B13" s="1"/>
      <c r="C13" s="6" t="s">
        <v>6</v>
      </c>
      <c r="D13" s="78" t="s">
        <v>161</v>
      </c>
      <c r="E13" s="79"/>
      <c r="F13" s="79"/>
      <c r="G13" s="80"/>
      <c r="H13" s="1"/>
      <c r="I13" s="1"/>
    </row>
    <row r="14" spans="1:9" x14ac:dyDescent="0.25">
      <c r="A14" s="1"/>
      <c r="B14" s="1"/>
      <c r="C14" s="6" t="s">
        <v>14</v>
      </c>
      <c r="D14" s="78" t="s">
        <v>204</v>
      </c>
      <c r="E14" s="79"/>
      <c r="F14" s="79"/>
      <c r="G14" s="80"/>
      <c r="H14" s="1"/>
      <c r="I14" s="1"/>
    </row>
    <row r="15" spans="1:9" x14ac:dyDescent="0.25">
      <c r="A15" s="1"/>
      <c r="B15" s="1"/>
      <c r="C15" s="6" t="s">
        <v>32</v>
      </c>
      <c r="D15" s="78" t="s">
        <v>137</v>
      </c>
      <c r="E15" s="79"/>
      <c r="F15" s="79"/>
      <c r="G15" s="80"/>
      <c r="H15" s="1"/>
      <c r="I15" s="1"/>
    </row>
    <row r="16" spans="1:9" x14ac:dyDescent="0.25">
      <c r="A16" s="1"/>
      <c r="B16" s="1"/>
      <c r="C16" s="6" t="s">
        <v>33</v>
      </c>
      <c r="D16" s="78" t="s">
        <v>162</v>
      </c>
      <c r="E16" s="79"/>
      <c r="F16" s="79"/>
      <c r="G16" s="80"/>
      <c r="H16" s="1"/>
      <c r="I16" s="1"/>
    </row>
    <row r="17" spans="1:9" x14ac:dyDescent="0.25">
      <c r="A17" s="1"/>
      <c r="B17" s="1"/>
      <c r="C17" s="6" t="s">
        <v>110</v>
      </c>
      <c r="D17" s="78" t="s">
        <v>163</v>
      </c>
      <c r="E17" s="79"/>
      <c r="F17" s="79"/>
      <c r="G17" s="80"/>
      <c r="H17" s="1"/>
      <c r="I17" s="1"/>
    </row>
    <row r="18" spans="1:9" x14ac:dyDescent="0.25">
      <c r="A18" s="1"/>
      <c r="B18" s="1"/>
      <c r="C18" s="6" t="s">
        <v>94</v>
      </c>
      <c r="D18" s="87" t="s">
        <v>86</v>
      </c>
      <c r="E18" s="88"/>
      <c r="F18" s="88"/>
      <c r="G18" s="89"/>
      <c r="H18" s="1"/>
      <c r="I18" s="1"/>
    </row>
    <row r="19" spans="1:9" x14ac:dyDescent="0.25">
      <c r="A19" s="1"/>
      <c r="B19" s="1"/>
      <c r="C19" s="6" t="s">
        <v>95</v>
      </c>
      <c r="D19" s="87" t="s">
        <v>87</v>
      </c>
      <c r="E19" s="88"/>
      <c r="F19" s="88"/>
      <c r="G19" s="89"/>
      <c r="H19" s="1"/>
      <c r="I19" s="1"/>
    </row>
    <row r="20" spans="1:9" x14ac:dyDescent="0.25">
      <c r="A20" s="1"/>
      <c r="B20" s="1"/>
      <c r="C20" s="6" t="s">
        <v>7</v>
      </c>
      <c r="D20" s="87" t="s">
        <v>9</v>
      </c>
      <c r="E20" s="88"/>
      <c r="F20" s="88"/>
      <c r="G20" s="89"/>
      <c r="H20" s="1"/>
      <c r="I20" s="1"/>
    </row>
    <row r="21" spans="1:9" x14ac:dyDescent="0.25">
      <c r="A21" s="1"/>
      <c r="B21" s="1"/>
      <c r="C21" s="6" t="s">
        <v>96</v>
      </c>
      <c r="D21" s="93" t="s">
        <v>11</v>
      </c>
      <c r="E21" s="94"/>
      <c r="F21" s="94"/>
      <c r="G21" s="95"/>
      <c r="H21" s="1"/>
      <c r="I21" s="1"/>
    </row>
    <row r="22" spans="1:9" x14ac:dyDescent="0.25">
      <c r="A22" s="1"/>
      <c r="B22" s="1"/>
      <c r="C22" s="6" t="s">
        <v>78</v>
      </c>
      <c r="D22" s="82" t="s">
        <v>164</v>
      </c>
      <c r="E22" s="83"/>
      <c r="F22" s="83"/>
      <c r="G22" s="84"/>
      <c r="H22" s="1"/>
      <c r="I22" s="1"/>
    </row>
    <row r="23" spans="1:9" x14ac:dyDescent="0.25">
      <c r="A23" s="1"/>
      <c r="B23" s="1"/>
      <c r="C23" s="6" t="s">
        <v>8</v>
      </c>
      <c r="D23" s="82" t="s">
        <v>219</v>
      </c>
      <c r="E23" s="83"/>
      <c r="F23" s="83"/>
      <c r="G23" s="84"/>
      <c r="H23" s="1"/>
      <c r="I23" s="1"/>
    </row>
    <row r="24" spans="1:9" x14ac:dyDescent="0.25">
      <c r="A24" s="1"/>
      <c r="B24" s="1"/>
      <c r="C24" s="6" t="s">
        <v>215</v>
      </c>
      <c r="D24" s="82" t="s">
        <v>205</v>
      </c>
      <c r="E24" s="83"/>
      <c r="F24" s="83"/>
      <c r="G24" s="84"/>
      <c r="H24" s="1"/>
      <c r="I24" s="1"/>
    </row>
    <row r="25" spans="1:9" x14ac:dyDescent="0.25">
      <c r="A25" s="1"/>
      <c r="B25" s="1"/>
      <c r="C25" s="6" t="s">
        <v>216</v>
      </c>
      <c r="D25" s="82" t="s">
        <v>79</v>
      </c>
      <c r="E25" s="83"/>
      <c r="F25" s="83"/>
      <c r="G25" s="84"/>
      <c r="H25" s="1"/>
      <c r="I25" s="1"/>
    </row>
    <row r="26" spans="1:9" x14ac:dyDescent="0.25">
      <c r="A26" s="1"/>
      <c r="B26" s="1"/>
      <c r="C26" s="6" t="s">
        <v>217</v>
      </c>
      <c r="D26" s="82" t="s">
        <v>80</v>
      </c>
      <c r="E26" s="83"/>
      <c r="F26" s="83"/>
      <c r="G26" s="84"/>
      <c r="H26" s="1"/>
      <c r="I26" s="1"/>
    </row>
    <row r="27" spans="1:9" x14ac:dyDescent="0.25">
      <c r="A27" s="1"/>
      <c r="B27" s="1"/>
      <c r="C27" s="6" t="s">
        <v>97</v>
      </c>
      <c r="D27" s="82" t="s">
        <v>111</v>
      </c>
      <c r="E27" s="83"/>
      <c r="F27" s="83"/>
      <c r="G27" s="84"/>
      <c r="H27" s="1"/>
      <c r="I27" s="1"/>
    </row>
    <row r="28" spans="1:9" x14ac:dyDescent="0.25">
      <c r="A28" s="1"/>
      <c r="B28" s="1"/>
      <c r="C28" s="6" t="s">
        <v>91</v>
      </c>
      <c r="D28" s="82" t="s">
        <v>34</v>
      </c>
      <c r="E28" s="83"/>
      <c r="F28" s="83"/>
      <c r="G28" s="84"/>
      <c r="H28" s="1"/>
      <c r="I28" s="1"/>
    </row>
    <row r="29" spans="1:9" x14ac:dyDescent="0.25">
      <c r="A29" s="1"/>
      <c r="B29" s="1"/>
      <c r="C29" s="6" t="s">
        <v>218</v>
      </c>
      <c r="D29" s="90" t="s">
        <v>92</v>
      </c>
      <c r="E29" s="91"/>
      <c r="F29" s="91"/>
      <c r="G29" s="92"/>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zQl/y7zQpT5I+ImxnxG/zOBhU/4Ql0a6Gf/M+MNeKzHqINWV3Hjo4wq1Qi53NTjSOxNYAsrJ0q73HVPcc83SEQ==" saltValue="sGKWfTdiRpgDTTKwHCnf+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6" t="s">
        <v>100</v>
      </c>
      <c r="C3" s="96"/>
      <c r="D3" s="96"/>
      <c r="E3" s="1"/>
      <c r="F3" s="1"/>
    </row>
    <row r="4" spans="1:6" ht="15" customHeight="1" x14ac:dyDescent="0.25">
      <c r="A4" s="1"/>
      <c r="B4" s="96"/>
      <c r="C4" s="96"/>
      <c r="D4" s="9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5" t="s">
        <v>181</v>
      </c>
      <c r="C8" s="116"/>
      <c r="D8" s="117"/>
      <c r="E8" s="1"/>
      <c r="F8" s="1"/>
    </row>
    <row r="9" spans="1:6" ht="15" customHeight="1" x14ac:dyDescent="0.25">
      <c r="A9" s="1"/>
      <c r="B9" s="32" t="s">
        <v>30</v>
      </c>
      <c r="C9" s="11" t="s">
        <v>212</v>
      </c>
      <c r="D9" s="11"/>
      <c r="E9" s="1"/>
      <c r="F9" s="1"/>
    </row>
    <row r="10" spans="1:6" x14ac:dyDescent="0.25">
      <c r="A10" s="1"/>
      <c r="B10" s="75" t="s">
        <v>230</v>
      </c>
      <c r="C10" s="9">
        <v>18503077</v>
      </c>
      <c r="D10" s="14" t="s">
        <v>3</v>
      </c>
      <c r="E10" s="1"/>
      <c r="F10" s="1"/>
    </row>
    <row r="11" spans="1:6" x14ac:dyDescent="0.25">
      <c r="A11" s="1"/>
      <c r="B11" s="75" t="s">
        <v>231</v>
      </c>
      <c r="C11" s="9">
        <v>130469</v>
      </c>
      <c r="D11" s="14" t="s">
        <v>3</v>
      </c>
      <c r="E11" s="1"/>
      <c r="F11" s="1"/>
    </row>
    <row r="12" spans="1:6" ht="26.25" x14ac:dyDescent="0.25">
      <c r="A12" s="1"/>
      <c r="B12" s="64" t="s">
        <v>232</v>
      </c>
      <c r="C12" s="9">
        <v>8096779</v>
      </c>
      <c r="D12" s="14" t="s">
        <v>3</v>
      </c>
      <c r="E12" s="1"/>
      <c r="F12" s="1"/>
    </row>
    <row r="13" spans="1:6" x14ac:dyDescent="0.25">
      <c r="A13" s="1"/>
      <c r="B13" s="75" t="s">
        <v>233</v>
      </c>
      <c r="C13" s="9">
        <v>498972</v>
      </c>
      <c r="D13" s="14" t="s">
        <v>3</v>
      </c>
      <c r="E13" s="1"/>
      <c r="F13" s="1"/>
    </row>
    <row r="14" spans="1:6" x14ac:dyDescent="0.25">
      <c r="A14" s="1"/>
      <c r="B14" s="67" t="s">
        <v>182</v>
      </c>
      <c r="C14" s="12">
        <f>SUM(C10:C13)</f>
        <v>27229297</v>
      </c>
      <c r="D14" s="13" t="s">
        <v>3</v>
      </c>
      <c r="E14" s="1"/>
      <c r="F14" s="1"/>
    </row>
    <row r="15" spans="1:6" x14ac:dyDescent="0.25">
      <c r="A15" s="1"/>
      <c r="B15" s="67" t="s">
        <v>183</v>
      </c>
      <c r="C15" s="12">
        <f>C14*(1+'Fane 13. Nøgletal'!C15)^2</f>
        <v>29202532.268245924</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w/bs/x9j6N5WXMSQJJ8/+5+wcBnzsMLyPUri2I2arXMxSPh5yH69Wqi2uFoMLcjad2EtvJjPNskdS5f+J02TpA==" saltValue="6Kt7TAr5uKqD8mFMDsQrX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8" t="s">
        <v>184</v>
      </c>
      <c r="C3" s="118"/>
      <c r="D3" s="118"/>
      <c r="E3" s="118"/>
      <c r="F3" s="118"/>
      <c r="G3" s="1"/>
    </row>
    <row r="4" spans="1:7" ht="15" customHeight="1" x14ac:dyDescent="0.25">
      <c r="A4" s="1"/>
      <c r="B4" s="118"/>
      <c r="C4" s="118"/>
      <c r="D4" s="118"/>
      <c r="E4" s="118"/>
      <c r="F4" s="118"/>
      <c r="G4" s="1"/>
    </row>
    <row r="5" spans="1:7" ht="15" customHeight="1" x14ac:dyDescent="0.25">
      <c r="A5" s="1"/>
      <c r="B5" s="63"/>
      <c r="C5" s="63"/>
      <c r="D5" s="63"/>
      <c r="E5" s="63"/>
      <c r="F5" s="63"/>
      <c r="G5" s="1"/>
    </row>
    <row r="6" spans="1:7" ht="15" customHeight="1" x14ac:dyDescent="0.25">
      <c r="A6" s="1"/>
      <c r="B6" s="63"/>
      <c r="C6" s="63"/>
      <c r="D6" s="63"/>
      <c r="E6" s="63"/>
      <c r="F6" s="63"/>
      <c r="G6" s="1"/>
    </row>
    <row r="7" spans="1:7" x14ac:dyDescent="0.25">
      <c r="A7" s="1"/>
      <c r="B7" s="1"/>
      <c r="C7" s="1"/>
      <c r="D7" s="1"/>
      <c r="E7" s="1"/>
      <c r="F7" s="1"/>
      <c r="G7" s="1"/>
    </row>
    <row r="8" spans="1:7" x14ac:dyDescent="0.25">
      <c r="A8" s="1"/>
      <c r="B8" s="115" t="s">
        <v>155</v>
      </c>
      <c r="C8" s="116"/>
      <c r="D8" s="116"/>
      <c r="E8" s="116"/>
      <c r="F8" s="117"/>
      <c r="G8" s="1"/>
    </row>
    <row r="9" spans="1:7" x14ac:dyDescent="0.25">
      <c r="A9" s="1"/>
      <c r="B9" s="122" t="s">
        <v>156</v>
      </c>
      <c r="C9" s="123"/>
      <c r="D9" s="124"/>
      <c r="E9" s="9">
        <v>-2531483</v>
      </c>
      <c r="F9" s="14" t="s">
        <v>3</v>
      </c>
      <c r="G9" s="1"/>
    </row>
    <row r="10" spans="1:7" x14ac:dyDescent="0.25">
      <c r="A10" s="1"/>
      <c r="B10" s="137" t="s">
        <v>234</v>
      </c>
      <c r="C10" s="138"/>
      <c r="D10" s="139"/>
      <c r="E10" s="9">
        <v>-2531483</v>
      </c>
      <c r="F10" s="49" t="s">
        <v>3</v>
      </c>
      <c r="G10" s="1"/>
    </row>
    <row r="11" spans="1:7" x14ac:dyDescent="0.25">
      <c r="A11" s="1"/>
      <c r="B11" s="122" t="s">
        <v>185</v>
      </c>
      <c r="C11" s="123"/>
      <c r="D11" s="124"/>
      <c r="E11" s="9">
        <v>-2747927.0838432238</v>
      </c>
      <c r="F11" s="14" t="s">
        <v>3</v>
      </c>
      <c r="G11" s="1"/>
    </row>
    <row r="12" spans="1:7" x14ac:dyDescent="0.25">
      <c r="A12" s="1"/>
      <c r="B12" s="67"/>
      <c r="C12" s="68"/>
      <c r="D12" s="68"/>
      <c r="E12" s="68"/>
      <c r="F12" s="19"/>
      <c r="G12" s="1"/>
    </row>
    <row r="13" spans="1:7" ht="64.900000000000006" customHeight="1" x14ac:dyDescent="0.25">
      <c r="A13" s="1"/>
      <c r="B13" s="98" t="s">
        <v>251</v>
      </c>
      <c r="C13" s="99"/>
      <c r="D13" s="99"/>
      <c r="E13" s="99"/>
      <c r="F13" s="100"/>
      <c r="G13" s="1"/>
    </row>
    <row r="14" spans="1:7" ht="27" customHeight="1" x14ac:dyDescent="0.25">
      <c r="A14" s="1"/>
      <c r="B14" s="1"/>
      <c r="C14" s="1"/>
      <c r="D14" s="1"/>
      <c r="E14" s="1"/>
      <c r="F14" s="1"/>
      <c r="G14" s="1"/>
    </row>
    <row r="15" spans="1:7" ht="28.5" customHeight="1" x14ac:dyDescent="0.25">
      <c r="A15" s="1"/>
      <c r="B15" s="115" t="s">
        <v>157</v>
      </c>
      <c r="C15" s="116"/>
      <c r="D15" s="116"/>
      <c r="E15" s="116"/>
      <c r="F15" s="117"/>
      <c r="G15" s="1"/>
    </row>
    <row r="16" spans="1:7" x14ac:dyDescent="0.25">
      <c r="A16" s="1"/>
      <c r="B16" s="122" t="s">
        <v>235</v>
      </c>
      <c r="C16" s="123"/>
      <c r="D16" s="124"/>
      <c r="E16" s="9">
        <f>-686981.770960806*2</f>
        <v>-1373963.5419216121</v>
      </c>
      <c r="F16" s="14" t="s">
        <v>3</v>
      </c>
      <c r="G16" s="1"/>
    </row>
    <row r="17" spans="1:7" x14ac:dyDescent="0.25">
      <c r="A17" s="1"/>
      <c r="B17" s="122" t="s">
        <v>236</v>
      </c>
      <c r="C17" s="123"/>
      <c r="D17" s="124"/>
      <c r="E17" s="9">
        <f>-686981.770960806*2</f>
        <v>-1373963.5419216121</v>
      </c>
      <c r="F17" s="14" t="s">
        <v>3</v>
      </c>
      <c r="G17" s="1"/>
    </row>
    <row r="18" spans="1:7" x14ac:dyDescent="0.25">
      <c r="A18" s="1"/>
      <c r="B18" s="67"/>
      <c r="C18" s="68"/>
      <c r="D18" s="68"/>
      <c r="E18" s="68"/>
      <c r="F18" s="19"/>
      <c r="G18" s="1"/>
    </row>
    <row r="19" spans="1:7" ht="31.5" customHeight="1" x14ac:dyDescent="0.25">
      <c r="A19" s="1"/>
      <c r="B19" s="98" t="s">
        <v>158</v>
      </c>
      <c r="C19" s="99"/>
      <c r="D19" s="99"/>
      <c r="E19" s="99"/>
      <c r="F19" s="100"/>
      <c r="G19" s="1"/>
    </row>
    <row r="20" spans="1:7" ht="28.5" customHeight="1" x14ac:dyDescent="0.25">
      <c r="A20" s="1"/>
      <c r="B20" s="1"/>
      <c r="C20" s="1"/>
      <c r="D20" s="1"/>
      <c r="E20" s="1"/>
      <c r="F20" s="1"/>
      <c r="G20" s="1"/>
    </row>
    <row r="21" spans="1:7" ht="28.5" customHeight="1" x14ac:dyDescent="0.25">
      <c r="A21" s="1"/>
      <c r="B21" s="69" t="s">
        <v>186</v>
      </c>
      <c r="C21" s="70"/>
      <c r="D21" s="70"/>
      <c r="E21" s="70"/>
      <c r="F21" s="71"/>
      <c r="G21" s="1"/>
    </row>
    <row r="22" spans="1:7" x14ac:dyDescent="0.25">
      <c r="A22" s="1"/>
      <c r="B22" s="72" t="s">
        <v>237</v>
      </c>
      <c r="C22" s="73"/>
      <c r="D22" s="74"/>
      <c r="E22" s="9">
        <v>50081288.594804332</v>
      </c>
      <c r="F22" s="14" t="s">
        <v>3</v>
      </c>
      <c r="G22" s="1"/>
    </row>
    <row r="23" spans="1:7" x14ac:dyDescent="0.25">
      <c r="A23" s="1"/>
      <c r="B23" s="72" t="s">
        <v>187</v>
      </c>
      <c r="C23" s="73"/>
      <c r="D23" s="74"/>
      <c r="E23" s="9">
        <v>53657057</v>
      </c>
      <c r="F23" s="14" t="s">
        <v>3</v>
      </c>
      <c r="G23" s="1"/>
    </row>
    <row r="24" spans="1:7" x14ac:dyDescent="0.25">
      <c r="A24" s="1"/>
      <c r="B24" s="72" t="s">
        <v>31</v>
      </c>
      <c r="C24" s="73"/>
      <c r="D24" s="74"/>
      <c r="E24" s="9">
        <v>75000</v>
      </c>
      <c r="F24" s="14" t="s">
        <v>3</v>
      </c>
      <c r="G24" s="1"/>
    </row>
    <row r="25" spans="1:7" x14ac:dyDescent="0.25">
      <c r="A25" s="1"/>
      <c r="B25" s="46" t="s">
        <v>252</v>
      </c>
      <c r="C25" s="47"/>
      <c r="D25" s="48"/>
      <c r="E25" s="52">
        <f>E22-(E23-E24)</f>
        <v>-3500768.4051956683</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15" t="s">
        <v>238</v>
      </c>
      <c r="C28" s="116"/>
      <c r="D28" s="116"/>
      <c r="E28" s="116"/>
      <c r="F28" s="117"/>
      <c r="G28" s="1"/>
    </row>
    <row r="29" spans="1:7" x14ac:dyDescent="0.25">
      <c r="A29" s="1"/>
      <c r="B29" s="140" t="s">
        <v>128</v>
      </c>
      <c r="C29" s="141"/>
      <c r="D29" s="142"/>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-6248695.4890388921</v>
      </c>
      <c r="F29" s="14" t="s">
        <v>3</v>
      </c>
      <c r="G29" s="1"/>
    </row>
    <row r="30" spans="1:7" x14ac:dyDescent="0.25">
      <c r="A30" s="1"/>
      <c r="B30" s="140" t="s">
        <v>93</v>
      </c>
      <c r="C30" s="141"/>
      <c r="D30" s="142"/>
      <c r="E30" s="9">
        <v>2</v>
      </c>
      <c r="F30" s="14" t="s">
        <v>18</v>
      </c>
      <c r="G30" s="1"/>
    </row>
    <row r="31" spans="1:7" x14ac:dyDescent="0.25">
      <c r="A31" s="1"/>
      <c r="B31" s="133" t="s">
        <v>127</v>
      </c>
      <c r="C31" s="133"/>
      <c r="D31" s="133"/>
      <c r="E31" s="10">
        <f>E29/E30</f>
        <v>-3124347.744519446</v>
      </c>
      <c r="F31" s="17" t="s">
        <v>3</v>
      </c>
      <c r="G31" s="1"/>
    </row>
    <row r="32" spans="1:7" x14ac:dyDescent="0.25">
      <c r="A32" s="1"/>
      <c r="B32" s="134"/>
      <c r="C32" s="135"/>
      <c r="D32" s="135"/>
      <c r="E32" s="135"/>
      <c r="F32" s="13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0"/>
      <c r="C38" s="50"/>
      <c r="D38" s="50"/>
      <c r="E38" s="50"/>
      <c r="F38" s="50"/>
    </row>
    <row r="39" spans="1:7" x14ac:dyDescent="0.25">
      <c r="A39" s="50"/>
      <c r="B39" s="50"/>
      <c r="C39" s="50"/>
      <c r="D39" s="50"/>
      <c r="E39" s="50"/>
      <c r="F39" s="50"/>
      <c r="G39" s="50"/>
    </row>
    <row r="40" spans="1:7" x14ac:dyDescent="0.25">
      <c r="A40" s="50"/>
      <c r="B40" s="50"/>
      <c r="C40" s="50"/>
      <c r="D40" s="50"/>
      <c r="E40" s="50"/>
      <c r="F40" s="50"/>
      <c r="G40" s="50"/>
    </row>
    <row r="41" spans="1:7" x14ac:dyDescent="0.25">
      <c r="A41" s="50"/>
      <c r="B41" s="50"/>
      <c r="C41" s="50"/>
      <c r="D41" s="50"/>
      <c r="E41" s="50"/>
      <c r="F41" s="50"/>
      <c r="G41" s="50"/>
    </row>
    <row r="42" spans="1:7" x14ac:dyDescent="0.25">
      <c r="A42" s="50"/>
      <c r="B42" s="50"/>
      <c r="C42" s="50"/>
      <c r="D42" s="50"/>
      <c r="E42" s="50"/>
      <c r="F42" s="50"/>
      <c r="G42" s="50"/>
    </row>
  </sheetData>
  <sheetProtection algorithmName="SHA-512" hashValue="y/ZYgxqbePLNdY164h4t0x+z5jXvxRMfXv7LPJ8KMEYnj8yFvAIizCIj0j7BW67eIIbjx9WTHVG2dwTA5lODtw==" saltValue="E5OEKbSta528ZJ65LSho2A=="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5" customWidth="1"/>
    <col min="2" max="2" width="22.5703125" style="35" customWidth="1"/>
    <col min="3" max="3" width="8.28515625" style="35" customWidth="1"/>
    <col min="4" max="6" width="10.7109375" style="35" customWidth="1"/>
    <col min="7" max="7" width="11" style="35" customWidth="1"/>
    <col min="8" max="8" width="3.28515625" style="35" customWidth="1"/>
    <col min="9" max="9" width="4.85546875" style="35" customWidth="1"/>
    <col min="10" max="16384" width="9" style="35"/>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6" t="s">
        <v>226</v>
      </c>
      <c r="C3" s="96"/>
      <c r="D3" s="96"/>
      <c r="E3" s="96"/>
      <c r="F3" s="96"/>
      <c r="G3" s="96"/>
      <c r="H3" s="96"/>
      <c r="I3" s="1"/>
    </row>
    <row r="4" spans="1:9" ht="15" customHeight="1" x14ac:dyDescent="0.25">
      <c r="A4" s="1"/>
      <c r="B4" s="96"/>
      <c r="C4" s="96"/>
      <c r="D4" s="96"/>
      <c r="E4" s="96"/>
      <c r="F4" s="96"/>
      <c r="G4" s="96"/>
      <c r="H4" s="9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5" t="s">
        <v>227</v>
      </c>
      <c r="C8" s="116"/>
      <c r="D8" s="116"/>
      <c r="E8" s="116"/>
      <c r="F8" s="116"/>
      <c r="G8" s="116"/>
      <c r="H8" s="117"/>
      <c r="I8" s="1"/>
    </row>
    <row r="9" spans="1:9" ht="15" customHeight="1" x14ac:dyDescent="0.25">
      <c r="A9" s="1"/>
      <c r="B9" s="107" t="s">
        <v>228</v>
      </c>
      <c r="C9" s="108"/>
      <c r="D9" s="108"/>
      <c r="E9" s="108"/>
      <c r="F9" s="108"/>
      <c r="G9" s="108"/>
      <c r="H9" s="109"/>
      <c r="I9" s="1"/>
    </row>
    <row r="10" spans="1:9" x14ac:dyDescent="0.25">
      <c r="A10" s="1"/>
      <c r="B10" s="143" t="s">
        <v>243</v>
      </c>
      <c r="C10" s="144"/>
      <c r="D10" s="144"/>
      <c r="E10" s="144"/>
      <c r="F10" s="145"/>
      <c r="G10" s="51">
        <v>0</v>
      </c>
      <c r="H10" s="9" t="s">
        <v>3</v>
      </c>
      <c r="I10" s="1"/>
    </row>
    <row r="11" spans="1:9" x14ac:dyDescent="0.25">
      <c r="A11" s="1"/>
      <c r="B11" s="143" t="s">
        <v>244</v>
      </c>
      <c r="C11" s="144"/>
      <c r="D11" s="144"/>
      <c r="E11" s="144"/>
      <c r="F11" s="145"/>
      <c r="G11" s="51">
        <v>0</v>
      </c>
      <c r="H11" s="9" t="s">
        <v>3</v>
      </c>
      <c r="I11" s="1"/>
    </row>
    <row r="12" spans="1:9" x14ac:dyDescent="0.25">
      <c r="A12" s="1"/>
      <c r="B12" s="143" t="s">
        <v>245</v>
      </c>
      <c r="C12" s="144"/>
      <c r="D12" s="144"/>
      <c r="E12" s="144"/>
      <c r="F12" s="145"/>
      <c r="G12" s="9">
        <v>0</v>
      </c>
      <c r="H12" s="9" t="s">
        <v>3</v>
      </c>
      <c r="I12" s="1"/>
    </row>
    <row r="13" spans="1:9" x14ac:dyDescent="0.25">
      <c r="A13" s="1"/>
      <c r="B13" s="143" t="s">
        <v>246</v>
      </c>
      <c r="C13" s="144"/>
      <c r="D13" s="144"/>
      <c r="E13" s="144"/>
      <c r="F13" s="145"/>
      <c r="G13" s="9">
        <v>0</v>
      </c>
      <c r="H13" s="9" t="s">
        <v>3</v>
      </c>
      <c r="I13" s="1"/>
    </row>
    <row r="14" spans="1:9" x14ac:dyDescent="0.25">
      <c r="A14" s="1"/>
      <c r="B14" s="143" t="s">
        <v>247</v>
      </c>
      <c r="C14" s="144"/>
      <c r="D14" s="144"/>
      <c r="E14" s="144"/>
      <c r="F14" s="145"/>
      <c r="G14" s="9">
        <v>0</v>
      </c>
      <c r="H14" s="9" t="s">
        <v>3</v>
      </c>
      <c r="I14" s="1"/>
    </row>
    <row r="15" spans="1:9" x14ac:dyDescent="0.25">
      <c r="A15" s="1"/>
      <c r="B15" s="143" t="s">
        <v>248</v>
      </c>
      <c r="C15" s="144"/>
      <c r="D15" s="144"/>
      <c r="E15" s="144"/>
      <c r="F15" s="145"/>
      <c r="G15" s="9">
        <v>0</v>
      </c>
      <c r="H15" s="9" t="s">
        <v>3</v>
      </c>
      <c r="I15" s="1"/>
    </row>
    <row r="16" spans="1:9" x14ac:dyDescent="0.25">
      <c r="A16" s="1"/>
      <c r="B16" s="143" t="s">
        <v>249</v>
      </c>
      <c r="C16" s="144"/>
      <c r="D16" s="144"/>
      <c r="E16" s="144"/>
      <c r="F16" s="145"/>
      <c r="G16" s="9">
        <v>0</v>
      </c>
      <c r="H16" s="9" t="s">
        <v>3</v>
      </c>
      <c r="I16" s="1"/>
    </row>
    <row r="17" spans="1:9" x14ac:dyDescent="0.25">
      <c r="A17" s="1"/>
      <c r="B17" s="143" t="s">
        <v>250</v>
      </c>
      <c r="C17" s="144"/>
      <c r="D17" s="144"/>
      <c r="E17" s="144"/>
      <c r="F17" s="145"/>
      <c r="G17" s="9">
        <v>0</v>
      </c>
      <c r="H17" s="9" t="s">
        <v>3</v>
      </c>
      <c r="I17" s="1"/>
    </row>
    <row r="18" spans="1:9" x14ac:dyDescent="0.25">
      <c r="A18" s="1"/>
      <c r="B18" s="115" t="s">
        <v>229</v>
      </c>
      <c r="C18" s="116"/>
      <c r="D18" s="116"/>
      <c r="E18" s="116"/>
      <c r="F18" s="11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9cwbyMk6udMBtKB+9VR2X+UwnQX/SgywAMToVCLNbJdU1mvUP225yjdI1uKU69SIa52mBA3fMyLphrgEmAKvuA==" saltValue="KiYX0bq/Mdl+hEqUGxxAJw=="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36"/>
  <sheetViews>
    <sheetView showGridLines="0" view="pageLayout" zoomScaleNormal="100" workbookViewId="0"/>
  </sheetViews>
  <sheetFormatPr defaultColWidth="9" defaultRowHeight="15" x14ac:dyDescent="0.25"/>
  <cols>
    <col min="1" max="1" width="3.140625" style="2" customWidth="1"/>
    <col min="2" max="2" width="22.42578125"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2.7109375"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6" t="s">
        <v>220</v>
      </c>
      <c r="C3" s="96"/>
      <c r="D3" s="96"/>
      <c r="E3" s="96"/>
      <c r="F3" s="96"/>
      <c r="G3" s="96"/>
      <c r="H3" s="96"/>
      <c r="I3" s="96"/>
      <c r="J3" s="96"/>
      <c r="K3" s="96"/>
      <c r="L3" s="1"/>
    </row>
    <row r="4" spans="1:12" ht="15" customHeight="1" x14ac:dyDescent="0.25">
      <c r="A4" s="1"/>
      <c r="B4" s="96"/>
      <c r="C4" s="96"/>
      <c r="D4" s="96"/>
      <c r="E4" s="96"/>
      <c r="F4" s="96"/>
      <c r="G4" s="96"/>
      <c r="H4" s="96"/>
      <c r="I4" s="96"/>
      <c r="J4" s="96"/>
      <c r="K4" s="9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5" t="s">
        <v>192</v>
      </c>
      <c r="C8" s="116"/>
      <c r="D8" s="116"/>
      <c r="E8" s="116"/>
      <c r="F8" s="116"/>
      <c r="G8" s="116"/>
      <c r="H8" s="116"/>
      <c r="I8" s="116"/>
      <c r="J8" s="116"/>
      <c r="K8" s="117"/>
      <c r="L8" s="1"/>
    </row>
    <row r="9" spans="1:12" ht="39.75" customHeight="1" x14ac:dyDescent="0.25">
      <c r="A9" s="1"/>
      <c r="B9" s="18" t="s">
        <v>0</v>
      </c>
      <c r="C9" s="18" t="s">
        <v>1</v>
      </c>
      <c r="D9" s="146" t="s">
        <v>213</v>
      </c>
      <c r="E9" s="147"/>
      <c r="F9" s="146" t="s">
        <v>2</v>
      </c>
      <c r="G9" s="147"/>
      <c r="H9" s="146" t="s">
        <v>214</v>
      </c>
      <c r="I9" s="147"/>
      <c r="J9" s="146" t="s">
        <v>28</v>
      </c>
      <c r="K9" s="147"/>
      <c r="L9" s="1"/>
    </row>
    <row r="10" spans="1:12" ht="26.25" x14ac:dyDescent="0.25">
      <c r="A10" s="1"/>
      <c r="B10" s="77" t="s">
        <v>253</v>
      </c>
      <c r="C10" s="29">
        <v>8</v>
      </c>
      <c r="D10" s="9">
        <v>14963878</v>
      </c>
      <c r="E10" s="14" t="s">
        <v>3</v>
      </c>
      <c r="F10" s="59">
        <f>IFERROR(D10/C10,0)</f>
        <v>1870484.75</v>
      </c>
      <c r="G10" s="14" t="s">
        <v>3</v>
      </c>
      <c r="H10" s="9">
        <v>0</v>
      </c>
      <c r="I10" s="14" t="s">
        <v>3</v>
      </c>
      <c r="J10" s="9">
        <v>598555</v>
      </c>
      <c r="K10" s="14" t="s">
        <v>3</v>
      </c>
      <c r="L10" s="1"/>
    </row>
    <row r="11" spans="1:12" x14ac:dyDescent="0.25">
      <c r="A11" s="1"/>
      <c r="B11" s="77" t="s">
        <v>254</v>
      </c>
      <c r="C11" s="29">
        <v>5</v>
      </c>
      <c r="D11" s="9">
        <v>646344</v>
      </c>
      <c r="E11" s="14" t="s">
        <v>3</v>
      </c>
      <c r="F11" s="59">
        <f t="shared" ref="F11:F24" si="0">IFERROR(D11/C11,0)</f>
        <v>129268.8</v>
      </c>
      <c r="G11" s="14" t="s">
        <v>3</v>
      </c>
      <c r="H11" s="9">
        <v>0</v>
      </c>
      <c r="I11" s="14" t="s">
        <v>3</v>
      </c>
      <c r="J11" s="9">
        <v>25854</v>
      </c>
      <c r="K11" s="14" t="s">
        <v>3</v>
      </c>
      <c r="L11" s="1"/>
    </row>
    <row r="12" spans="1:12" x14ac:dyDescent="0.25">
      <c r="A12" s="1"/>
      <c r="B12" s="77" t="s">
        <v>254</v>
      </c>
      <c r="C12" s="29">
        <v>5</v>
      </c>
      <c r="D12" s="9">
        <v>348787</v>
      </c>
      <c r="E12" s="14" t="s">
        <v>3</v>
      </c>
      <c r="F12" s="59">
        <f t="shared" si="0"/>
        <v>69757.399999999994</v>
      </c>
      <c r="G12" s="14" t="s">
        <v>3</v>
      </c>
      <c r="H12" s="9">
        <v>0</v>
      </c>
      <c r="I12" s="14" t="s">
        <v>3</v>
      </c>
      <c r="J12" s="9">
        <v>13951</v>
      </c>
      <c r="K12" s="14" t="s">
        <v>3</v>
      </c>
      <c r="L12" s="1"/>
    </row>
    <row r="13" spans="1:12" x14ac:dyDescent="0.25">
      <c r="A13" s="1"/>
      <c r="B13" s="77" t="s">
        <v>255</v>
      </c>
      <c r="C13" s="29">
        <v>25</v>
      </c>
      <c r="D13" s="9">
        <v>1743935</v>
      </c>
      <c r="E13" s="14" t="s">
        <v>3</v>
      </c>
      <c r="F13" s="59">
        <f t="shared" si="0"/>
        <v>69757.399999999994</v>
      </c>
      <c r="G13" s="14" t="s">
        <v>3</v>
      </c>
      <c r="H13" s="9">
        <v>0</v>
      </c>
      <c r="I13" s="14" t="s">
        <v>3</v>
      </c>
      <c r="J13" s="9">
        <v>69757</v>
      </c>
      <c r="K13" s="14" t="s">
        <v>3</v>
      </c>
      <c r="L13" s="1"/>
    </row>
    <row r="14" spans="1:12" ht="26.25" x14ac:dyDescent="0.25">
      <c r="A14" s="1"/>
      <c r="B14" s="77" t="s">
        <v>256</v>
      </c>
      <c r="C14" s="29">
        <v>75</v>
      </c>
      <c r="D14" s="9">
        <v>16392347</v>
      </c>
      <c r="E14" s="14" t="s">
        <v>3</v>
      </c>
      <c r="F14" s="59">
        <f t="shared" si="0"/>
        <v>218564.62666666668</v>
      </c>
      <c r="G14" s="14" t="s">
        <v>3</v>
      </c>
      <c r="H14" s="9">
        <v>0</v>
      </c>
      <c r="I14" s="14" t="s">
        <v>3</v>
      </c>
      <c r="J14" s="9">
        <v>655694</v>
      </c>
      <c r="K14" s="14" t="s">
        <v>3</v>
      </c>
      <c r="L14" s="1"/>
    </row>
    <row r="15" spans="1:12" ht="26.25" x14ac:dyDescent="0.25">
      <c r="A15" s="1"/>
      <c r="B15" s="77" t="s">
        <v>257</v>
      </c>
      <c r="C15" s="29">
        <v>75</v>
      </c>
      <c r="D15" s="9">
        <v>43075099</v>
      </c>
      <c r="E15" s="14" t="s">
        <v>3</v>
      </c>
      <c r="F15" s="59">
        <f t="shared" si="0"/>
        <v>574334.65333333332</v>
      </c>
      <c r="G15" s="14" t="s">
        <v>3</v>
      </c>
      <c r="H15" s="9">
        <v>0</v>
      </c>
      <c r="I15" s="14" t="s">
        <v>3</v>
      </c>
      <c r="J15" s="9">
        <v>1723004</v>
      </c>
      <c r="K15" s="14" t="s">
        <v>3</v>
      </c>
      <c r="L15" s="1"/>
    </row>
    <row r="16" spans="1:12" ht="26.25" x14ac:dyDescent="0.25">
      <c r="A16" s="1"/>
      <c r="B16" s="77" t="s">
        <v>258</v>
      </c>
      <c r="C16" s="29">
        <v>25</v>
      </c>
      <c r="D16" s="9">
        <v>28600534</v>
      </c>
      <c r="E16" s="14" t="s">
        <v>3</v>
      </c>
      <c r="F16" s="59">
        <f t="shared" si="0"/>
        <v>1144021.3600000001</v>
      </c>
      <c r="G16" s="14" t="s">
        <v>3</v>
      </c>
      <c r="H16" s="9">
        <v>0</v>
      </c>
      <c r="I16" s="14" t="s">
        <v>3</v>
      </c>
      <c r="J16" s="9">
        <v>1144021</v>
      </c>
      <c r="K16" s="14" t="s">
        <v>3</v>
      </c>
      <c r="L16" s="1"/>
    </row>
    <row r="17" spans="1:12" ht="51.75" x14ac:dyDescent="0.25">
      <c r="A17" s="1"/>
      <c r="B17" s="77" t="s">
        <v>259</v>
      </c>
      <c r="C17" s="29">
        <v>10</v>
      </c>
      <c r="D17" s="9">
        <v>1939032</v>
      </c>
      <c r="E17" s="14" t="s">
        <v>3</v>
      </c>
      <c r="F17" s="59">
        <f t="shared" si="0"/>
        <v>193903.2</v>
      </c>
      <c r="G17" s="14" t="s">
        <v>3</v>
      </c>
      <c r="H17" s="9">
        <v>0</v>
      </c>
      <c r="I17" s="14" t="s">
        <v>3</v>
      </c>
      <c r="J17" s="9">
        <v>77561</v>
      </c>
      <c r="K17" s="14" t="s">
        <v>3</v>
      </c>
      <c r="L17" s="1"/>
    </row>
    <row r="18" spans="1:12" ht="39" x14ac:dyDescent="0.25">
      <c r="A18" s="1"/>
      <c r="B18" s="77" t="s">
        <v>260</v>
      </c>
      <c r="C18" s="29">
        <v>50</v>
      </c>
      <c r="D18" s="9">
        <v>5170752</v>
      </c>
      <c r="E18" s="14" t="s">
        <v>3</v>
      </c>
      <c r="F18" s="59">
        <f t="shared" si="0"/>
        <v>103415.03999999999</v>
      </c>
      <c r="G18" s="14" t="s">
        <v>3</v>
      </c>
      <c r="H18" s="9">
        <v>0</v>
      </c>
      <c r="I18" s="14" t="s">
        <v>3</v>
      </c>
      <c r="J18" s="9">
        <v>206830</v>
      </c>
      <c r="K18" s="14" t="s">
        <v>3</v>
      </c>
      <c r="L18" s="1"/>
    </row>
    <row r="19" spans="1:12" x14ac:dyDescent="0.25">
      <c r="A19" s="1"/>
      <c r="B19" s="77" t="s">
        <v>261</v>
      </c>
      <c r="C19" s="29">
        <v>10</v>
      </c>
      <c r="D19" s="9">
        <v>2790296</v>
      </c>
      <c r="E19" s="14" t="s">
        <v>3</v>
      </c>
      <c r="F19" s="59">
        <f t="shared" si="0"/>
        <v>279029.59999999998</v>
      </c>
      <c r="G19" s="14" t="s">
        <v>3</v>
      </c>
      <c r="H19" s="9">
        <v>0</v>
      </c>
      <c r="I19" s="14" t="s">
        <v>3</v>
      </c>
      <c r="J19" s="9">
        <v>111612</v>
      </c>
      <c r="K19" s="14" t="s">
        <v>3</v>
      </c>
      <c r="L19" s="1"/>
    </row>
    <row r="20" spans="1:12" ht="26.25" x14ac:dyDescent="0.25">
      <c r="A20" s="1"/>
      <c r="B20" s="77" t="s">
        <v>262</v>
      </c>
      <c r="C20" s="29">
        <v>25</v>
      </c>
      <c r="D20" s="9">
        <v>697574</v>
      </c>
      <c r="E20" s="14" t="s">
        <v>3</v>
      </c>
      <c r="F20" s="59">
        <f t="shared" si="0"/>
        <v>27902.959999999999</v>
      </c>
      <c r="G20" s="14" t="s">
        <v>3</v>
      </c>
      <c r="H20" s="9">
        <v>0</v>
      </c>
      <c r="I20" s="14" t="s">
        <v>3</v>
      </c>
      <c r="J20" s="9">
        <v>27903</v>
      </c>
      <c r="K20" s="14" t="s">
        <v>3</v>
      </c>
      <c r="L20" s="1"/>
    </row>
    <row r="21" spans="1:12" ht="39" x14ac:dyDescent="0.25">
      <c r="A21" s="1"/>
      <c r="B21" s="77" t="s">
        <v>263</v>
      </c>
      <c r="C21" s="29">
        <v>25</v>
      </c>
      <c r="D21" s="9">
        <v>697574</v>
      </c>
      <c r="E21" s="14" t="s">
        <v>3</v>
      </c>
      <c r="F21" s="59">
        <f t="shared" si="0"/>
        <v>27902.959999999999</v>
      </c>
      <c r="G21" s="14" t="s">
        <v>3</v>
      </c>
      <c r="H21" s="9">
        <v>0</v>
      </c>
      <c r="I21" s="14" t="s">
        <v>3</v>
      </c>
      <c r="J21" s="9">
        <v>27903</v>
      </c>
      <c r="K21" s="14" t="s">
        <v>3</v>
      </c>
      <c r="L21" s="1"/>
    </row>
    <row r="22" spans="1:12" ht="26.25" x14ac:dyDescent="0.25">
      <c r="A22" s="1"/>
      <c r="B22" s="77" t="s">
        <v>264</v>
      </c>
      <c r="C22" s="29">
        <v>75</v>
      </c>
      <c r="D22" s="9">
        <v>646344</v>
      </c>
      <c r="E22" s="14" t="s">
        <v>3</v>
      </c>
      <c r="F22" s="59">
        <f t="shared" si="0"/>
        <v>8617.92</v>
      </c>
      <c r="G22" s="14" t="s">
        <v>3</v>
      </c>
      <c r="H22" s="9">
        <v>0</v>
      </c>
      <c r="I22" s="14" t="s">
        <v>3</v>
      </c>
      <c r="J22" s="9">
        <v>25854</v>
      </c>
      <c r="K22" s="14" t="s">
        <v>3</v>
      </c>
      <c r="L22" s="1"/>
    </row>
    <row r="23" spans="1:12" ht="26.25" x14ac:dyDescent="0.25">
      <c r="A23" s="1"/>
      <c r="B23" s="77" t="s">
        <v>265</v>
      </c>
      <c r="C23" s="29">
        <v>75</v>
      </c>
      <c r="D23" s="9">
        <v>1939032</v>
      </c>
      <c r="E23" s="14" t="s">
        <v>3</v>
      </c>
      <c r="F23" s="59">
        <f t="shared" si="0"/>
        <v>25853.759999999998</v>
      </c>
      <c r="G23" s="14" t="s">
        <v>3</v>
      </c>
      <c r="H23" s="9">
        <v>0</v>
      </c>
      <c r="I23" s="14" t="s">
        <v>3</v>
      </c>
      <c r="J23" s="9">
        <v>77561</v>
      </c>
      <c r="K23" s="14" t="s">
        <v>3</v>
      </c>
      <c r="L23" s="1"/>
    </row>
    <row r="24" spans="1:12" ht="26.25" x14ac:dyDescent="0.25">
      <c r="A24" s="1"/>
      <c r="B24" s="77" t="s">
        <v>265</v>
      </c>
      <c r="C24" s="29">
        <v>75</v>
      </c>
      <c r="D24" s="9">
        <v>2585376</v>
      </c>
      <c r="E24" s="14" t="s">
        <v>3</v>
      </c>
      <c r="F24" s="59">
        <f t="shared" si="0"/>
        <v>34471.68</v>
      </c>
      <c r="G24" s="14" t="s">
        <v>3</v>
      </c>
      <c r="H24" s="9">
        <v>0</v>
      </c>
      <c r="I24" s="14" t="s">
        <v>3</v>
      </c>
      <c r="J24" s="9">
        <v>103415</v>
      </c>
      <c r="K24" s="14" t="s">
        <v>3</v>
      </c>
      <c r="L24" s="1"/>
    </row>
    <row r="25" spans="1:12" x14ac:dyDescent="0.25">
      <c r="A25" s="1"/>
      <c r="B25" s="67" t="s">
        <v>193</v>
      </c>
      <c r="C25" s="68"/>
      <c r="D25" s="19"/>
      <c r="E25" s="71"/>
      <c r="F25" s="12">
        <f>SUM(F10:F24)</f>
        <v>4777286.1099999994</v>
      </c>
      <c r="G25" s="13" t="s">
        <v>3</v>
      </c>
      <c r="H25" s="12">
        <f>SUM(H10:H24)</f>
        <v>0</v>
      </c>
      <c r="I25" s="13" t="s">
        <v>3</v>
      </c>
      <c r="J25" s="12">
        <f>SUM(J10:J24)</f>
        <v>4889475</v>
      </c>
      <c r="K25" s="13" t="s">
        <v>3</v>
      </c>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sheetData>
  <sheetProtection algorithmName="SHA-512" hashValue="HA/S1ZWGysHvtNE5jCl2lqHAIgGMScZ9syO/p7zZ9dI4ORqpBqXBNY131weeNCdlML5IseOnLWYIF2QZFnUfYg==" saltValue="S9kWKAUBjqaP9+mfLJm4W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1"/>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221</v>
      </c>
      <c r="C3" s="96"/>
      <c r="D3" s="96"/>
      <c r="E3" s="96"/>
      <c r="F3" s="96"/>
      <c r="G3" s="1"/>
    </row>
    <row r="4" spans="1:7" ht="1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62"/>
      <c r="G9" s="1"/>
    </row>
    <row r="10" spans="1:7" x14ac:dyDescent="0.25">
      <c r="A10" s="1"/>
      <c r="B10" s="22" t="s">
        <v>203</v>
      </c>
      <c r="C10" s="21">
        <f>'Fane 9. Anlægsprojekter (§ 19) '!H25</f>
        <v>0</v>
      </c>
      <c r="D10" s="14" t="s">
        <v>3</v>
      </c>
      <c r="E10" s="9">
        <f>'Fane 9. Anlægsprojekter (§ 19) '!F25+'Fane 9. Anlægsprojekter (§ 19) '!J25</f>
        <v>9666761.1099999994</v>
      </c>
      <c r="F10" s="14" t="s">
        <v>3</v>
      </c>
      <c r="G10" s="1"/>
    </row>
    <row r="11" spans="1:7" x14ac:dyDescent="0.25">
      <c r="A11" s="1"/>
      <c r="B11" s="26" t="s">
        <v>241</v>
      </c>
      <c r="C11" s="21">
        <v>0</v>
      </c>
      <c r="D11" s="14" t="s">
        <v>3</v>
      </c>
      <c r="E11" s="9">
        <v>115496</v>
      </c>
      <c r="F11" s="14" t="s">
        <v>3</v>
      </c>
      <c r="G11" s="1"/>
    </row>
    <row r="12" spans="1:7" x14ac:dyDescent="0.25">
      <c r="A12" s="1"/>
      <c r="B12" s="26" t="s">
        <v>242</v>
      </c>
      <c r="C12" s="21">
        <v>104793</v>
      </c>
      <c r="D12" s="14" t="s">
        <v>3</v>
      </c>
      <c r="E12" s="9">
        <v>32556</v>
      </c>
      <c r="F12" s="14" t="s">
        <v>3</v>
      </c>
      <c r="G12" s="1"/>
    </row>
    <row r="13" spans="1:7" x14ac:dyDescent="0.25">
      <c r="A13" s="1"/>
      <c r="B13" s="26" t="s">
        <v>267</v>
      </c>
      <c r="C13" s="21">
        <v>0</v>
      </c>
      <c r="D13" s="14" t="s">
        <v>3</v>
      </c>
      <c r="E13" s="9">
        <v>867361</v>
      </c>
      <c r="F13" s="14" t="s">
        <v>3</v>
      </c>
      <c r="G13" s="1"/>
    </row>
    <row r="14" spans="1:7" x14ac:dyDescent="0.25">
      <c r="A14" s="1"/>
      <c r="B14" s="67" t="s">
        <v>148</v>
      </c>
      <c r="C14" s="12">
        <f>SUM(C10:C13)</f>
        <v>104793</v>
      </c>
      <c r="D14" s="13" t="s">
        <v>3</v>
      </c>
      <c r="E14" s="12">
        <f>SUM(E10:E13)</f>
        <v>10682174.109999999</v>
      </c>
      <c r="F14" s="13" t="s">
        <v>3</v>
      </c>
      <c r="G14" s="1"/>
    </row>
    <row r="15" spans="1:7" x14ac:dyDescent="0.25">
      <c r="A15" s="1"/>
      <c r="B15" s="67" t="s">
        <v>188</v>
      </c>
      <c r="C15" s="12">
        <f>C14*(1+'Fane 13. Nøgletal'!C15)</f>
        <v>108523.63080000001</v>
      </c>
      <c r="D15" s="13" t="s">
        <v>3</v>
      </c>
      <c r="E15" s="12">
        <f>E14*(1+'Fane 13. Nøgletal'!C15)</f>
        <v>11062459.508316001</v>
      </c>
      <c r="F15" s="13" t="s">
        <v>3</v>
      </c>
      <c r="G15" s="1"/>
    </row>
    <row r="16" spans="1:7" x14ac:dyDescent="0.25">
      <c r="A16" s="1"/>
      <c r="B16" s="1"/>
      <c r="C16" s="1" t="s">
        <v>210</v>
      </c>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sheetData>
  <sheetProtection algorithmName="SHA-512" hashValue="re1I7CLHb726AzXS4m2NVMosf9A8cmgiEyelGD8LGK+9B5pm8HXIjwyte8UNkXmxbJYn1bDjj+fYRKOYXbopIg==" saltValue="fWc9XPZMI0yELCyXVzpOH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222</v>
      </c>
      <c r="C3" s="96"/>
      <c r="D3" s="96"/>
      <c r="E3" s="96"/>
      <c r="F3" s="96"/>
      <c r="G3" s="1"/>
    </row>
    <row r="4" spans="1:7" ht="1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5" t="s">
        <v>88</v>
      </c>
      <c r="C9" s="116"/>
      <c r="D9" s="116"/>
      <c r="E9" s="116"/>
      <c r="F9" s="117"/>
      <c r="G9" s="1"/>
    </row>
    <row r="10" spans="1:7" ht="26.25" x14ac:dyDescent="0.25">
      <c r="A10" s="1"/>
      <c r="B10" s="65" t="s">
        <v>15</v>
      </c>
      <c r="C10" s="65" t="s">
        <v>10</v>
      </c>
      <c r="D10" s="66"/>
      <c r="E10" s="65" t="s">
        <v>29</v>
      </c>
      <c r="F10" s="62"/>
      <c r="G10" s="1"/>
    </row>
    <row r="11" spans="1:7" x14ac:dyDescent="0.25">
      <c r="A11" s="1"/>
      <c r="B11" s="22" t="s">
        <v>266</v>
      </c>
      <c r="C11" s="21">
        <v>0</v>
      </c>
      <c r="D11" s="14" t="s">
        <v>3</v>
      </c>
      <c r="E11" s="9">
        <v>0</v>
      </c>
      <c r="F11" s="14" t="s">
        <v>3</v>
      </c>
      <c r="G11" s="1"/>
    </row>
    <row r="12" spans="1:7" x14ac:dyDescent="0.25">
      <c r="A12" s="1"/>
      <c r="B12" s="67" t="s">
        <v>195</v>
      </c>
      <c r="C12" s="12">
        <f>SUM(C11:C11)</f>
        <v>0</v>
      </c>
      <c r="D12" s="13" t="s">
        <v>3</v>
      </c>
      <c r="E12" s="12">
        <f>SUM(E11:E11)</f>
        <v>0</v>
      </c>
      <c r="F12" s="13" t="s">
        <v>3</v>
      </c>
      <c r="G12" s="1"/>
    </row>
    <row r="13" spans="1:7" x14ac:dyDescent="0.25">
      <c r="A13" s="1"/>
      <c r="B13" s="67"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iF/0FaHgQdMoVJlh5wVVDM9BkeF9RldBp8nLdQ7n6uzp1LGxN/yw4R+GN+4MnfDrA1CaZB5jN+aynX2exx93Ug==" saltValue="IkPEv3X66Z42JaJTeOhDO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8" t="s">
        <v>223</v>
      </c>
      <c r="C3" s="118"/>
      <c r="D3" s="118"/>
      <c r="E3" s="118"/>
      <c r="F3" s="118"/>
      <c r="G3" s="1"/>
    </row>
    <row r="4" spans="1:7" ht="25.5" customHeight="1" x14ac:dyDescent="0.25">
      <c r="A4" s="1"/>
      <c r="B4" s="118"/>
      <c r="C4" s="118"/>
      <c r="D4" s="118"/>
      <c r="E4" s="118"/>
      <c r="F4" s="11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112</v>
      </c>
      <c r="C8" s="116"/>
      <c r="D8" s="116"/>
      <c r="E8" s="116"/>
      <c r="F8" s="117"/>
      <c r="G8" s="1"/>
    </row>
    <row r="9" spans="1:7" ht="15" customHeight="1" x14ac:dyDescent="0.25">
      <c r="A9" s="1"/>
      <c r="B9" s="61" t="s">
        <v>113</v>
      </c>
      <c r="C9" s="107" t="s">
        <v>10</v>
      </c>
      <c r="D9" s="109"/>
      <c r="E9" s="107" t="s">
        <v>29</v>
      </c>
      <c r="F9" s="109"/>
      <c r="G9" s="1"/>
    </row>
    <row r="10" spans="1:7" x14ac:dyDescent="0.25">
      <c r="A10" s="1"/>
      <c r="B10" s="22" t="s">
        <v>239</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KxDKJIuV1VVC6xw67SBc3uqX9nDbeWsZotEU7jUWYhe01CK2rd9QRQ5BiVBDCiZeNSgBLR3YMTAW9Obfdl8spA==" saltValue="bw8mWt3wXAkPdtmKIReiY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8" t="s">
        <v>224</v>
      </c>
      <c r="C3" s="118"/>
      <c r="D3" s="118"/>
      <c r="E3" s="118"/>
      <c r="F3" s="118"/>
      <c r="G3" s="1"/>
    </row>
    <row r="4" spans="1:7" ht="25.5" customHeight="1" x14ac:dyDescent="0.25">
      <c r="A4" s="1"/>
      <c r="B4" s="118"/>
      <c r="C4" s="118"/>
      <c r="D4" s="118"/>
      <c r="E4" s="118"/>
      <c r="F4" s="11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5" t="s">
        <v>85</v>
      </c>
      <c r="C10" s="116"/>
      <c r="D10" s="116"/>
      <c r="E10" s="116"/>
      <c r="F10" s="117"/>
      <c r="G10" s="1"/>
    </row>
    <row r="11" spans="1:7" ht="26.25" x14ac:dyDescent="0.25">
      <c r="A11" s="1"/>
      <c r="B11" s="61" t="s">
        <v>16</v>
      </c>
      <c r="C11" s="61" t="s">
        <v>10</v>
      </c>
      <c r="D11" s="62"/>
      <c r="E11" s="61" t="s">
        <v>29</v>
      </c>
      <c r="F11" s="62"/>
      <c r="G11" s="1"/>
    </row>
    <row r="12" spans="1:7" x14ac:dyDescent="0.25">
      <c r="A12" s="1"/>
      <c r="B12" s="22" t="s">
        <v>240</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bwzXkFtq5AeP8FRLOafHJLW52seVOGX4NOMY73zC0BWVMHbRS/yK+ZbdkdL3qZFEO1io/jKG51jeRz8+bgD5/Q==" saltValue="vYWInrad1Wf/mwMyPiRqp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4" customWidth="1"/>
    <col min="4" max="4" width="9" style="2" customWidth="1"/>
    <col min="5" max="16384" width="9" style="2"/>
  </cols>
  <sheetData>
    <row r="1" spans="1:4" x14ac:dyDescent="0.25">
      <c r="A1" s="1"/>
      <c r="B1" s="1"/>
      <c r="C1" s="39"/>
      <c r="D1" s="1"/>
    </row>
    <row r="2" spans="1:4" x14ac:dyDescent="0.25">
      <c r="A2" s="1"/>
      <c r="B2" s="1"/>
      <c r="C2" s="39"/>
      <c r="D2" s="1"/>
    </row>
    <row r="3" spans="1:4" ht="15" customHeight="1" x14ac:dyDescent="0.25">
      <c r="A3" s="1"/>
      <c r="B3" s="118" t="s">
        <v>225</v>
      </c>
      <c r="C3" s="118"/>
      <c r="D3" s="1"/>
    </row>
    <row r="4" spans="1:4" ht="25.5" customHeight="1" x14ac:dyDescent="0.25">
      <c r="A4" s="1"/>
      <c r="B4" s="118"/>
      <c r="C4" s="118"/>
      <c r="D4" s="1"/>
    </row>
    <row r="5" spans="1:4" x14ac:dyDescent="0.25">
      <c r="A5" s="1"/>
      <c r="B5" s="1"/>
      <c r="C5" s="39"/>
      <c r="D5" s="1"/>
    </row>
    <row r="6" spans="1:4" x14ac:dyDescent="0.25">
      <c r="A6" s="1"/>
      <c r="B6" s="1"/>
      <c r="C6" s="39"/>
      <c r="D6" s="1"/>
    </row>
    <row r="7" spans="1:4" x14ac:dyDescent="0.25">
      <c r="A7" s="1"/>
      <c r="B7" s="1"/>
      <c r="C7" s="39"/>
      <c r="D7" s="1"/>
    </row>
    <row r="8" spans="1:4" x14ac:dyDescent="0.25">
      <c r="A8" s="1"/>
      <c r="B8" s="67" t="s">
        <v>13</v>
      </c>
      <c r="C8" s="40"/>
      <c r="D8" s="1"/>
    </row>
    <row r="9" spans="1:4" x14ac:dyDescent="0.25">
      <c r="A9" s="1"/>
      <c r="B9" s="75" t="s">
        <v>101</v>
      </c>
      <c r="C9" s="41">
        <v>1.2699999999999999E-2</v>
      </c>
      <c r="D9" s="1"/>
    </row>
    <row r="10" spans="1:4" x14ac:dyDescent="0.25">
      <c r="A10" s="1"/>
      <c r="B10" s="75" t="s">
        <v>21</v>
      </c>
      <c r="C10" s="41">
        <v>1.7500000000000002E-2</v>
      </c>
      <c r="D10" s="1"/>
    </row>
    <row r="11" spans="1:4" x14ac:dyDescent="0.25">
      <c r="A11" s="1"/>
      <c r="B11" s="75" t="s">
        <v>102</v>
      </c>
      <c r="C11" s="41">
        <v>1.6899999999999998E-2</v>
      </c>
      <c r="D11" s="1"/>
    </row>
    <row r="12" spans="1:4" x14ac:dyDescent="0.25">
      <c r="A12" s="1"/>
      <c r="B12" s="24" t="s">
        <v>37</v>
      </c>
      <c r="C12" s="42">
        <v>1.9699999999999999E-2</v>
      </c>
      <c r="D12" s="1"/>
    </row>
    <row r="13" spans="1:4" x14ac:dyDescent="0.25">
      <c r="A13" s="1"/>
      <c r="B13" s="24" t="s">
        <v>118</v>
      </c>
      <c r="C13" s="42">
        <v>1.2200000000000001E-2</v>
      </c>
      <c r="D13" s="1"/>
    </row>
    <row r="14" spans="1:4" x14ac:dyDescent="0.25">
      <c r="A14" s="1"/>
      <c r="B14" s="24" t="s">
        <v>150</v>
      </c>
      <c r="C14" s="43">
        <v>3.3E-3</v>
      </c>
      <c r="D14" s="1"/>
    </row>
    <row r="15" spans="1:4" x14ac:dyDescent="0.25">
      <c r="A15" s="1"/>
      <c r="B15" s="24" t="s">
        <v>190</v>
      </c>
      <c r="C15" s="43">
        <v>3.56E-2</v>
      </c>
      <c r="D15" s="1"/>
    </row>
    <row r="16" spans="1:4" x14ac:dyDescent="0.25">
      <c r="A16" s="1"/>
      <c r="B16" s="115"/>
      <c r="C16" s="117"/>
      <c r="D16" s="1"/>
    </row>
    <row r="17" spans="1:4" x14ac:dyDescent="0.25">
      <c r="A17" s="1"/>
      <c r="B17" s="1"/>
      <c r="C17" s="39"/>
      <c r="D17" s="1"/>
    </row>
    <row r="18" spans="1:4" x14ac:dyDescent="0.25">
      <c r="A18" s="1"/>
      <c r="B18" s="1"/>
      <c r="C18" s="39"/>
      <c r="D18" s="1"/>
    </row>
    <row r="19" spans="1:4" x14ac:dyDescent="0.25">
      <c r="A19" s="1"/>
      <c r="B19" s="67" t="s">
        <v>89</v>
      </c>
      <c r="C19" s="40"/>
      <c r="D19" s="1"/>
    </row>
    <row r="20" spans="1:4" x14ac:dyDescent="0.25">
      <c r="A20" s="1"/>
      <c r="B20" s="75" t="s">
        <v>103</v>
      </c>
      <c r="C20" s="43">
        <v>9.1000000000000004E-3</v>
      </c>
      <c r="D20" s="1"/>
    </row>
    <row r="21" spans="1:4" x14ac:dyDescent="0.25">
      <c r="A21" s="1"/>
      <c r="B21" s="75" t="s">
        <v>104</v>
      </c>
      <c r="C21" s="43">
        <v>1.77E-2</v>
      </c>
      <c r="D21" s="1"/>
    </row>
    <row r="22" spans="1:4" x14ac:dyDescent="0.25">
      <c r="A22" s="1"/>
      <c r="B22" s="75" t="s">
        <v>105</v>
      </c>
      <c r="C22" s="43">
        <v>8.6999999999999994E-3</v>
      </c>
      <c r="D22" s="1"/>
    </row>
    <row r="23" spans="1:4" x14ac:dyDescent="0.25">
      <c r="A23" s="1"/>
      <c r="B23" s="75" t="s">
        <v>106</v>
      </c>
      <c r="C23" s="43">
        <v>2.8399999999999998E-2</v>
      </c>
      <c r="D23" s="1"/>
    </row>
    <row r="24" spans="1:4" x14ac:dyDescent="0.25">
      <c r="A24" s="1"/>
      <c r="B24" s="75" t="s">
        <v>120</v>
      </c>
      <c r="C24" s="43">
        <v>2.75E-2</v>
      </c>
      <c r="D24" s="1"/>
    </row>
    <row r="25" spans="1:4" x14ac:dyDescent="0.25">
      <c r="A25" s="1"/>
      <c r="B25" s="75" t="s">
        <v>151</v>
      </c>
      <c r="C25" s="43">
        <v>1.4800000000000001E-2</v>
      </c>
      <c r="D25" s="1"/>
    </row>
    <row r="26" spans="1:4" x14ac:dyDescent="0.25">
      <c r="A26" s="1"/>
      <c r="B26" s="24" t="s">
        <v>191</v>
      </c>
      <c r="C26" s="43">
        <v>0</v>
      </c>
      <c r="D26" s="1"/>
    </row>
    <row r="27" spans="1:4" x14ac:dyDescent="0.25">
      <c r="A27" s="1"/>
      <c r="B27" s="67"/>
      <c r="C27" s="40"/>
      <c r="D27" s="1"/>
    </row>
    <row r="28" spans="1:4" x14ac:dyDescent="0.25">
      <c r="A28" s="1"/>
      <c r="B28" s="1"/>
      <c r="C28" s="39"/>
      <c r="D28" s="1"/>
    </row>
    <row r="29" spans="1:4" x14ac:dyDescent="0.25">
      <c r="A29" s="1"/>
      <c r="B29" s="1"/>
      <c r="C29" s="39"/>
      <c r="D29" s="1"/>
    </row>
    <row r="30" spans="1:4" x14ac:dyDescent="0.25">
      <c r="A30" s="1"/>
      <c r="B30" s="67" t="s">
        <v>90</v>
      </c>
      <c r="C30" s="40"/>
      <c r="D30" s="1"/>
    </row>
    <row r="31" spans="1:4" x14ac:dyDescent="0.25">
      <c r="A31" s="1"/>
      <c r="B31" s="75" t="s">
        <v>107</v>
      </c>
      <c r="C31" s="41">
        <v>0.02</v>
      </c>
      <c r="D31" s="1"/>
    </row>
    <row r="32" spans="1:4" x14ac:dyDescent="0.25">
      <c r="A32" s="1"/>
      <c r="B32" s="67"/>
      <c r="C32" s="40"/>
      <c r="D32" s="1"/>
    </row>
    <row r="33" spans="1:4" x14ac:dyDescent="0.25">
      <c r="A33" s="1"/>
      <c r="B33" s="1"/>
      <c r="C33" s="39"/>
      <c r="D33" s="1"/>
    </row>
    <row r="34" spans="1:4" x14ac:dyDescent="0.25">
      <c r="A34" s="1"/>
      <c r="B34" s="1"/>
      <c r="C34" s="39"/>
      <c r="D34" s="1"/>
    </row>
    <row r="35" spans="1:4" x14ac:dyDescent="0.25">
      <c r="A35" s="1"/>
      <c r="B35" s="1"/>
      <c r="C35" s="39"/>
      <c r="D35" s="1"/>
    </row>
    <row r="36" spans="1:4" x14ac:dyDescent="0.25">
      <c r="A36" s="1"/>
      <c r="B36" s="1"/>
      <c r="C36" s="39"/>
      <c r="D36" s="1"/>
    </row>
    <row r="37" spans="1:4" x14ac:dyDescent="0.25">
      <c r="A37" s="1"/>
      <c r="B37" s="1"/>
      <c r="C37" s="39"/>
      <c r="D37" s="1"/>
    </row>
    <row r="38" spans="1:4" x14ac:dyDescent="0.25">
      <c r="A38" s="1"/>
      <c r="B38" s="1"/>
      <c r="C38" s="39"/>
      <c r="D38" s="1"/>
    </row>
    <row r="39" spans="1:4" x14ac:dyDescent="0.25">
      <c r="A39" s="1"/>
      <c r="B39" s="1"/>
      <c r="C39" s="39"/>
      <c r="D39" s="1"/>
    </row>
    <row r="40" spans="1:4" x14ac:dyDescent="0.25">
      <c r="A40" s="1"/>
      <c r="B40" s="1"/>
      <c r="C40" s="39"/>
      <c r="D40" s="1"/>
    </row>
    <row r="41" spans="1:4" x14ac:dyDescent="0.25">
      <c r="A41" s="1"/>
      <c r="B41" s="1"/>
      <c r="C41" s="39"/>
      <c r="D41" s="1"/>
    </row>
    <row r="42" spans="1:4" x14ac:dyDescent="0.25">
      <c r="A42" s="1"/>
      <c r="B42" s="1"/>
      <c r="C42" s="39"/>
      <c r="D42" s="1"/>
    </row>
    <row r="43" spans="1:4" x14ac:dyDescent="0.25">
      <c r="A43" s="1"/>
      <c r="B43" s="1"/>
      <c r="C43" s="39"/>
      <c r="D43" s="1"/>
    </row>
    <row r="44" spans="1:4" x14ac:dyDescent="0.25">
      <c r="A44" s="1"/>
      <c r="B44" s="1"/>
      <c r="C44" s="39"/>
      <c r="D44" s="1"/>
    </row>
    <row r="45" spans="1:4" x14ac:dyDescent="0.25">
      <c r="A45" s="1"/>
      <c r="B45" s="1"/>
      <c r="C45" s="39"/>
      <c r="D45" s="1"/>
    </row>
    <row r="46" spans="1:4" x14ac:dyDescent="0.25">
      <c r="A46" s="1"/>
      <c r="B46" s="1"/>
      <c r="C46" s="39"/>
      <c r="D46" s="1"/>
    </row>
    <row r="47" spans="1:4" x14ac:dyDescent="0.25">
      <c r="A47" s="1"/>
      <c r="B47" s="1"/>
      <c r="C47" s="39"/>
      <c r="D47" s="1"/>
    </row>
    <row r="48" spans="1:4" x14ac:dyDescent="0.25">
      <c r="A48" s="1"/>
      <c r="B48" s="1"/>
      <c r="C48" s="39"/>
      <c r="D48" s="1"/>
    </row>
  </sheetData>
  <sheetProtection algorithmName="SHA-512" hashValue="Pa6rD1NH544G8JTDKU0XAMSL0PsgqZ8VuvKuK5YJVFB+Q3QvVj+VuXWYB9bqfyTjYx4vproNTNHarZIXUUmrSg==" saltValue="RJdbFIVVUXYEqCt1I3wptg=="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6" t="s">
        <v>165</v>
      </c>
      <c r="C3" s="96"/>
      <c r="D3" s="96"/>
      <c r="E3" s="1"/>
    </row>
    <row r="4" spans="1:5" ht="15" customHeight="1" x14ac:dyDescent="0.25">
      <c r="A4" s="1"/>
      <c r="B4" s="96"/>
      <c r="C4" s="96"/>
      <c r="D4" s="96"/>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64" t="s">
        <v>116</v>
      </c>
      <c r="C8" s="7">
        <f>'Fane 3. Omkostninger i ØR2022'!E20</f>
        <v>28696628.409419134</v>
      </c>
      <c r="D8" s="8" t="s">
        <v>3</v>
      </c>
      <c r="E8" s="1"/>
    </row>
    <row r="9" spans="1:5" ht="17.25" customHeight="1" x14ac:dyDescent="0.25">
      <c r="A9" s="1"/>
      <c r="B9" s="23" t="s">
        <v>35</v>
      </c>
      <c r="C9" s="7">
        <f>'Fane 10.1. Varige tillæg'!C15</f>
        <v>108523.63080000001</v>
      </c>
      <c r="D9" s="8" t="s">
        <v>3</v>
      </c>
      <c r="E9" s="1"/>
    </row>
    <row r="10" spans="1:5" ht="17.25" customHeight="1" x14ac:dyDescent="0.25">
      <c r="A10" s="1"/>
      <c r="B10" s="23" t="s">
        <v>36</v>
      </c>
      <c r="C10" s="9">
        <f>'Fane 10.1. Varige tillæg'!E15</f>
        <v>11062459.508316001</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1419286.9711278509</v>
      </c>
      <c r="D15" s="8" t="s">
        <v>3</v>
      </c>
      <c r="E15" s="1"/>
    </row>
    <row r="16" spans="1:5" ht="17.25" customHeight="1" x14ac:dyDescent="0.25">
      <c r="A16" s="1"/>
      <c r="B16" s="23" t="s">
        <v>9</v>
      </c>
      <c r="C16" s="9">
        <f>-SUM(C8,C9:C15)*'Fane 5. Individuelt eff. krav'!G9</f>
        <v>-825737.97039325989</v>
      </c>
      <c r="D16" s="8" t="s">
        <v>3</v>
      </c>
      <c r="E16" s="1"/>
    </row>
    <row r="17" spans="1:5" ht="17.25" customHeight="1" x14ac:dyDescent="0.25">
      <c r="A17" s="1"/>
      <c r="B17" s="23" t="s">
        <v>23</v>
      </c>
      <c r="C17" s="9">
        <f>-'Fane 4.1. Gen. krav - drift'!G43</f>
        <v>-299180.86457227991</v>
      </c>
      <c r="D17" s="8" t="s">
        <v>3</v>
      </c>
      <c r="E17" s="1"/>
    </row>
    <row r="18" spans="1:5" ht="17.25" customHeight="1" x14ac:dyDescent="0.25">
      <c r="A18" s="1"/>
      <c r="B18" s="23" t="s">
        <v>24</v>
      </c>
      <c r="C18" s="9">
        <f>-'Fane 4.2. Gen. krav - anlæg'!G43</f>
        <v>0</v>
      </c>
      <c r="D18" s="8" t="s">
        <v>3</v>
      </c>
      <c r="E18" s="1"/>
    </row>
    <row r="19" spans="1:5" ht="17.25" customHeight="1" x14ac:dyDescent="0.25">
      <c r="A19" s="1"/>
      <c r="B19" s="46" t="s">
        <v>19</v>
      </c>
      <c r="C19" s="10">
        <f>SUM(C8,C9:C18)</f>
        <v>40161979.684697449</v>
      </c>
      <c r="D19" s="11" t="s">
        <v>3</v>
      </c>
      <c r="E19" s="1"/>
    </row>
    <row r="20" spans="1:5" ht="15" customHeight="1" x14ac:dyDescent="0.25">
      <c r="A20" s="1"/>
      <c r="B20" s="67" t="s">
        <v>11</v>
      </c>
      <c r="C20" s="68"/>
      <c r="D20" s="19"/>
      <c r="E20" s="1"/>
    </row>
    <row r="21" spans="1:5" ht="15" customHeight="1" x14ac:dyDescent="0.25">
      <c r="A21" s="1"/>
      <c r="B21" s="61" t="s">
        <v>11</v>
      </c>
      <c r="C21" s="10">
        <f>'Fane 6. Ikke-påvirkelige omk.'!C15</f>
        <v>29202532.268245924</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6" t="s">
        <v>81</v>
      </c>
      <c r="C27" s="45">
        <f>SUM(C23:C26)</f>
        <v>0</v>
      </c>
      <c r="D27" s="11" t="s">
        <v>3</v>
      </c>
      <c r="E27" s="1"/>
    </row>
    <row r="28" spans="1:5" ht="15" customHeight="1" x14ac:dyDescent="0.25">
      <c r="A28" s="1"/>
      <c r="B28" s="25" t="s">
        <v>128</v>
      </c>
      <c r="C28" s="68"/>
      <c r="D28" s="19"/>
      <c r="E28" s="1"/>
    </row>
    <row r="29" spans="1:5" x14ac:dyDescent="0.25">
      <c r="A29" s="1"/>
      <c r="B29" s="76" t="s">
        <v>129</v>
      </c>
      <c r="C29" s="10">
        <f>'Fane 7. Kontrol af ØR2021'!E31</f>
        <v>-3124347.744519446</v>
      </c>
      <c r="D29" s="11" t="s">
        <v>3</v>
      </c>
      <c r="E29" s="1"/>
    </row>
    <row r="30" spans="1:5" x14ac:dyDescent="0.25">
      <c r="A30" s="1"/>
      <c r="B30" s="25" t="s">
        <v>153</v>
      </c>
      <c r="C30" s="68"/>
      <c r="D30" s="19"/>
      <c r="E30" s="1"/>
    </row>
    <row r="31" spans="1:5" x14ac:dyDescent="0.25">
      <c r="A31" s="1"/>
      <c r="B31" s="76" t="s">
        <v>154</v>
      </c>
      <c r="C31" s="10">
        <f>'Fane 8. Skattesagen'!G12</f>
        <v>0</v>
      </c>
      <c r="D31" s="11" t="s">
        <v>3</v>
      </c>
      <c r="E31" s="1"/>
    </row>
    <row r="32" spans="1:5" x14ac:dyDescent="0.25">
      <c r="A32" s="1"/>
      <c r="B32" s="67" t="s">
        <v>84</v>
      </c>
      <c r="C32" s="34">
        <f>SUM(C19,C21,C27,C29,C31)</f>
        <v>66240164.208423927</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9JCVMhR/jTlCQxHzX8K8Lqr5g25Kp+UJ2kpcpTn/KnCCDw8D8NqOxPgsJNQ4B7B1A0/AJHIVFZIzdUJlYR//Cw==" saltValue="uEF8RQhyjWftwQQqbmRpF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6" t="s">
        <v>166</v>
      </c>
      <c r="C3" s="96"/>
      <c r="D3" s="96"/>
      <c r="E3" s="1"/>
    </row>
    <row r="4" spans="1:5" ht="15" customHeight="1" x14ac:dyDescent="0.25">
      <c r="A4" s="1"/>
      <c r="B4" s="96"/>
      <c r="C4" s="96"/>
      <c r="D4" s="96"/>
      <c r="E4" s="1"/>
    </row>
    <row r="5" spans="1:5" x14ac:dyDescent="0.25">
      <c r="A5" s="1"/>
      <c r="B5" s="97"/>
      <c r="C5" s="97"/>
      <c r="D5" s="97"/>
      <c r="E5" s="1"/>
    </row>
    <row r="6" spans="1:5" x14ac:dyDescent="0.25">
      <c r="A6" s="1"/>
      <c r="B6" s="1"/>
      <c r="C6" s="1"/>
      <c r="D6" s="1"/>
      <c r="E6" s="1"/>
    </row>
    <row r="7" spans="1:5" x14ac:dyDescent="0.25">
      <c r="A7" s="1"/>
      <c r="B7" s="67" t="s">
        <v>12</v>
      </c>
      <c r="C7" s="68"/>
      <c r="D7" s="19"/>
      <c r="E7" s="1"/>
    </row>
    <row r="8" spans="1:5" ht="15" customHeight="1" x14ac:dyDescent="0.25">
      <c r="A8" s="1"/>
      <c r="B8" s="64" t="s">
        <v>117</v>
      </c>
      <c r="C8" s="7">
        <f>'Fane 2.1. Økonomisk ramme 2023'!C19</f>
        <v>40161979.684697449</v>
      </c>
      <c r="D8" s="8" t="s">
        <v>3</v>
      </c>
      <c r="E8" s="1"/>
    </row>
    <row r="9" spans="1:5" ht="15" customHeight="1" x14ac:dyDescent="0.25">
      <c r="A9" s="1"/>
      <c r="B9" s="60" t="s">
        <v>17</v>
      </c>
      <c r="C9" s="9">
        <f>SUM(C8:C8)*'Fane 13. Nøgletal'!C15</f>
        <v>1429766.4767752292</v>
      </c>
      <c r="D9" s="8" t="s">
        <v>3</v>
      </c>
      <c r="E9" s="1"/>
    </row>
    <row r="10" spans="1:5" ht="15" customHeight="1" x14ac:dyDescent="0.25">
      <c r="A10" s="1"/>
      <c r="B10" s="60" t="s">
        <v>9</v>
      </c>
      <c r="C10" s="9">
        <f>-SUM(C8:C9)*'Fane 5. Individuelt eff. krav'!G9</f>
        <v>-831834.92322945362</v>
      </c>
      <c r="D10" s="8" t="s">
        <v>3</v>
      </c>
      <c r="E10" s="1"/>
    </row>
    <row r="11" spans="1:5" ht="15" customHeight="1" x14ac:dyDescent="0.25">
      <c r="A11" s="1"/>
      <c r="B11" s="60" t="s">
        <v>23</v>
      </c>
      <c r="C11" s="9">
        <f>-'Fane 4.1. Gen. krav - drift'!G48</f>
        <v>-303635.06928403204</v>
      </c>
      <c r="D11" s="8" t="s">
        <v>3</v>
      </c>
      <c r="E11" s="1"/>
    </row>
    <row r="12" spans="1:5" ht="15" customHeight="1" x14ac:dyDescent="0.25">
      <c r="A12" s="1"/>
      <c r="B12" s="60" t="s">
        <v>24</v>
      </c>
      <c r="C12" s="9">
        <f>-'Fane 4.2. Gen. krav - anlæg'!G48</f>
        <v>0</v>
      </c>
      <c r="D12" s="8" t="s">
        <v>3</v>
      </c>
      <c r="E12" s="1"/>
    </row>
    <row r="13" spans="1:5" ht="15" customHeight="1" x14ac:dyDescent="0.25">
      <c r="A13" s="1"/>
      <c r="B13" s="32" t="s">
        <v>19</v>
      </c>
      <c r="C13" s="10">
        <f>SUM(C8:C12)</f>
        <v>40456276.168959193</v>
      </c>
      <c r="D13" s="11" t="s">
        <v>3</v>
      </c>
      <c r="E13" s="1"/>
    </row>
    <row r="14" spans="1:5" x14ac:dyDescent="0.25">
      <c r="A14" s="1"/>
      <c r="B14" s="67" t="s">
        <v>11</v>
      </c>
      <c r="C14" s="68"/>
      <c r="D14" s="19"/>
      <c r="E14" s="1"/>
    </row>
    <row r="15" spans="1:5" ht="15" customHeight="1" x14ac:dyDescent="0.25">
      <c r="A15" s="1"/>
      <c r="B15" s="61" t="s">
        <v>11</v>
      </c>
      <c r="C15" s="10">
        <f>'Fane 6. Ikke-påvirkelige omk.'!C15*(1+'Fane 13. Nøgletal'!C15)</f>
        <v>30242142.416995481</v>
      </c>
      <c r="D15" s="11" t="s">
        <v>3</v>
      </c>
      <c r="E15" s="1"/>
    </row>
    <row r="16" spans="1:5" x14ac:dyDescent="0.25">
      <c r="A16" s="1"/>
      <c r="B16" s="25" t="s">
        <v>128</v>
      </c>
      <c r="C16" s="68"/>
      <c r="D16" s="19"/>
      <c r="E16" s="1"/>
    </row>
    <row r="17" spans="1:5" ht="15" customHeight="1" x14ac:dyDescent="0.25">
      <c r="A17" s="1"/>
      <c r="B17" s="76" t="s">
        <v>129</v>
      </c>
      <c r="C17" s="10">
        <f>'Fane 7. Kontrol af ØR2021'!E31</f>
        <v>-3124347.744519446</v>
      </c>
      <c r="D17" s="11" t="s">
        <v>3</v>
      </c>
      <c r="E17" s="1"/>
    </row>
    <row r="18" spans="1:5" x14ac:dyDescent="0.25">
      <c r="A18" s="1"/>
      <c r="B18" s="25" t="s">
        <v>153</v>
      </c>
      <c r="C18" s="68"/>
      <c r="D18" s="19"/>
      <c r="E18" s="1"/>
    </row>
    <row r="19" spans="1:5" x14ac:dyDescent="0.25">
      <c r="A19" s="1"/>
      <c r="B19" s="76" t="s">
        <v>154</v>
      </c>
      <c r="C19" s="10">
        <f>'Fane 8. Skattesagen'!G13</f>
        <v>0</v>
      </c>
      <c r="D19" s="11" t="s">
        <v>3</v>
      </c>
      <c r="E19" s="1"/>
    </row>
    <row r="20" spans="1:5" x14ac:dyDescent="0.25">
      <c r="A20" s="1"/>
      <c r="B20" s="67" t="s">
        <v>138</v>
      </c>
      <c r="C20" s="12">
        <f>SUM(C13,C15,C17,C19)</f>
        <v>67574070.841435224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5aQDBZAg1K8DkrLrUIiiao5VfKBmMYyWy93Ez/U/QDtfjvq4PdAPy8QENetpErWQHCk9L5qgLmuLBf7eVIYx0g==" saltValue="i4+C72+lnlDHMzZaRSP55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6" t="s">
        <v>167</v>
      </c>
      <c r="C3" s="96"/>
      <c r="D3" s="96"/>
      <c r="E3" s="1"/>
    </row>
    <row r="4" spans="1:5" ht="15" customHeight="1" x14ac:dyDescent="0.25">
      <c r="A4" s="1"/>
      <c r="B4" s="96"/>
      <c r="C4" s="96"/>
      <c r="D4" s="96"/>
      <c r="E4" s="1"/>
    </row>
    <row r="5" spans="1:5" x14ac:dyDescent="0.25">
      <c r="A5" s="1"/>
      <c r="B5" s="97" t="s">
        <v>20</v>
      </c>
      <c r="C5" s="97"/>
      <c r="D5" s="97"/>
      <c r="E5" s="1"/>
    </row>
    <row r="6" spans="1:5" x14ac:dyDescent="0.25">
      <c r="A6" s="1"/>
      <c r="B6" s="1"/>
      <c r="C6" s="1"/>
      <c r="D6" s="1"/>
      <c r="E6" s="1"/>
    </row>
    <row r="7" spans="1:5" x14ac:dyDescent="0.25">
      <c r="A7" s="1"/>
      <c r="B7" s="67" t="s">
        <v>12</v>
      </c>
      <c r="C7" s="68"/>
      <c r="D7" s="19"/>
      <c r="E7" s="1"/>
    </row>
    <row r="8" spans="1:5" ht="15" customHeight="1" x14ac:dyDescent="0.25">
      <c r="A8" s="1"/>
      <c r="B8" s="64" t="s">
        <v>139</v>
      </c>
      <c r="C8" s="7">
        <f>'Fane 2.2. Økonomisk ramme 2024'!C13</f>
        <v>40456276.168959193</v>
      </c>
      <c r="D8" s="8" t="s">
        <v>3</v>
      </c>
      <c r="E8" s="1"/>
    </row>
    <row r="9" spans="1:5" ht="15" customHeight="1" x14ac:dyDescent="0.25">
      <c r="A9" s="1"/>
      <c r="B9" s="60" t="s">
        <v>17</v>
      </c>
      <c r="C9" s="9">
        <f>SUM(C8:C8)*'Fane 13. Nøgletal'!C15</f>
        <v>1440243.4316149473</v>
      </c>
      <c r="D9" s="8" t="s">
        <v>3</v>
      </c>
      <c r="E9" s="1"/>
    </row>
    <row r="10" spans="1:5" ht="15" customHeight="1" x14ac:dyDescent="0.25">
      <c r="A10" s="1"/>
      <c r="B10" s="60" t="s">
        <v>9</v>
      </c>
      <c r="C10" s="9">
        <f>-SUM(C8:C9)*'Fane 5. Individuelt eff. krav'!G9</f>
        <v>-837930.39201148285</v>
      </c>
      <c r="D10" s="8" t="s">
        <v>3</v>
      </c>
      <c r="E10" s="1"/>
    </row>
    <row r="11" spans="1:5" ht="15" customHeight="1" x14ac:dyDescent="0.25">
      <c r="A11" s="1"/>
      <c r="B11" s="60" t="s">
        <v>23</v>
      </c>
      <c r="C11" s="9">
        <f>-'Fane 4.1. Gen. krav - drift'!G53</f>
        <v>-308155.58819553273</v>
      </c>
      <c r="D11" s="8" t="s">
        <v>3</v>
      </c>
      <c r="E11" s="1"/>
    </row>
    <row r="12" spans="1:5" ht="15" customHeight="1" x14ac:dyDescent="0.25">
      <c r="A12" s="1"/>
      <c r="B12" s="60" t="s">
        <v>24</v>
      </c>
      <c r="C12" s="27">
        <f>-'Fane 4.2. Gen. krav - anlæg'!G53</f>
        <v>0</v>
      </c>
      <c r="D12" s="8" t="s">
        <v>3</v>
      </c>
      <c r="E12" s="1"/>
    </row>
    <row r="13" spans="1:5" x14ac:dyDescent="0.25">
      <c r="A13" s="1"/>
      <c r="B13" s="32" t="s">
        <v>19</v>
      </c>
      <c r="C13" s="10">
        <f>SUM(C8:C12)</f>
        <v>40750433.620367125</v>
      </c>
      <c r="D13" s="11" t="s">
        <v>3</v>
      </c>
      <c r="E13" s="1"/>
    </row>
    <row r="14" spans="1:5" x14ac:dyDescent="0.25">
      <c r="A14" s="1"/>
      <c r="B14" s="67" t="s">
        <v>11</v>
      </c>
      <c r="C14" s="68"/>
      <c r="D14" s="19"/>
      <c r="E14" s="1"/>
    </row>
    <row r="15" spans="1:5" ht="15" customHeight="1" x14ac:dyDescent="0.25">
      <c r="A15" s="1"/>
      <c r="B15" s="61" t="s">
        <v>11</v>
      </c>
      <c r="C15" s="10">
        <f>'Fane 6. Ikke-påvirkelige omk.'!C15*(1+'Fane 13. Nøgletal'!C15)^2</f>
        <v>31318762.687040523</v>
      </c>
      <c r="D15" s="11" t="s">
        <v>3</v>
      </c>
      <c r="E15" s="1"/>
    </row>
    <row r="16" spans="1:5" x14ac:dyDescent="0.25">
      <c r="A16" s="1"/>
      <c r="B16" s="67" t="s">
        <v>128</v>
      </c>
      <c r="C16" s="68"/>
      <c r="D16" s="19"/>
      <c r="E16" s="1"/>
    </row>
    <row r="17" spans="1:5" x14ac:dyDescent="0.25">
      <c r="A17" s="1"/>
      <c r="B17" s="61" t="s">
        <v>129</v>
      </c>
      <c r="C17" s="10">
        <v>0</v>
      </c>
      <c r="D17" s="11" t="s">
        <v>3</v>
      </c>
      <c r="E17" s="1"/>
    </row>
    <row r="18" spans="1:5" ht="15" customHeight="1" x14ac:dyDescent="0.25">
      <c r="A18" s="1"/>
      <c r="B18" s="25" t="s">
        <v>153</v>
      </c>
      <c r="C18" s="68"/>
      <c r="D18" s="19"/>
      <c r="E18" s="1"/>
    </row>
    <row r="19" spans="1:5" ht="15" customHeight="1" x14ac:dyDescent="0.25">
      <c r="A19" s="1"/>
      <c r="B19" s="76" t="s">
        <v>154</v>
      </c>
      <c r="C19" s="10">
        <f>'Fane 8. Skattesagen'!G14</f>
        <v>0</v>
      </c>
      <c r="D19" s="11" t="s">
        <v>3</v>
      </c>
      <c r="E19" s="1"/>
    </row>
    <row r="20" spans="1:5" x14ac:dyDescent="0.25">
      <c r="A20" s="1"/>
      <c r="B20" s="67" t="s">
        <v>140</v>
      </c>
      <c r="C20" s="12">
        <f>SUM(C13,C15,C17,C19)</f>
        <v>72069196.307407647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AaT/FKMLFSHUE3oQf9MT5Em7NYFiUFmGLlbAHAp9lI5qSokVwjKJ8xVpUBhfuFyN2rRGWOGhCRW3bFlKntgvFA==" saltValue="c8StjJpmDYDNYNFmQN0YB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6" t="s">
        <v>168</v>
      </c>
      <c r="C3" s="96"/>
      <c r="D3" s="96"/>
      <c r="E3" s="1"/>
    </row>
    <row r="4" spans="1:5" ht="15" customHeight="1" x14ac:dyDescent="0.25">
      <c r="A4" s="1"/>
      <c r="B4" s="96"/>
      <c r="C4" s="96"/>
      <c r="D4" s="96"/>
      <c r="E4" s="1"/>
    </row>
    <row r="5" spans="1:5" x14ac:dyDescent="0.25">
      <c r="A5" s="1"/>
      <c r="B5" s="97" t="s">
        <v>20</v>
      </c>
      <c r="C5" s="97"/>
      <c r="D5" s="97"/>
      <c r="E5" s="1"/>
    </row>
    <row r="6" spans="1:5" x14ac:dyDescent="0.25">
      <c r="A6" s="1"/>
      <c r="B6" s="1"/>
      <c r="C6" s="1"/>
      <c r="D6" s="1"/>
      <c r="E6" s="1"/>
    </row>
    <row r="7" spans="1:5" x14ac:dyDescent="0.25">
      <c r="A7" s="1"/>
      <c r="B7" s="67" t="s">
        <v>12</v>
      </c>
      <c r="C7" s="68"/>
      <c r="D7" s="19"/>
      <c r="E7" s="1"/>
    </row>
    <row r="8" spans="1:5" ht="15" customHeight="1" x14ac:dyDescent="0.25">
      <c r="A8" s="1"/>
      <c r="B8" s="64" t="s">
        <v>169</v>
      </c>
      <c r="C8" s="7">
        <f>'Fane 2.3. Økonomisk ramme 2025'!C13</f>
        <v>40750433.620367125</v>
      </c>
      <c r="D8" s="8" t="s">
        <v>3</v>
      </c>
      <c r="E8" s="1"/>
    </row>
    <row r="9" spans="1:5" ht="15" customHeight="1" x14ac:dyDescent="0.25">
      <c r="A9" s="1"/>
      <c r="B9" s="60" t="s">
        <v>17</v>
      </c>
      <c r="C9" s="9">
        <f>SUM(C8:C8)*'Fane 13. Nøgletal'!C15</f>
        <v>1450715.4368850696</v>
      </c>
      <c r="D9" s="8" t="s">
        <v>3</v>
      </c>
      <c r="E9" s="1"/>
    </row>
    <row r="10" spans="1:5" ht="15" customHeight="1" x14ac:dyDescent="0.25">
      <c r="A10" s="1"/>
      <c r="B10" s="60" t="s">
        <v>9</v>
      </c>
      <c r="C10" s="9">
        <f>-SUM(C8:C9)*'Fane 5. Individuelt eff. krav'!G9</f>
        <v>-844022.98114504386</v>
      </c>
      <c r="D10" s="8" t="s">
        <v>3</v>
      </c>
      <c r="E10" s="1"/>
    </row>
    <row r="11" spans="1:5" ht="15" customHeight="1" x14ac:dyDescent="0.25">
      <c r="A11" s="1"/>
      <c r="B11" s="60" t="s">
        <v>23</v>
      </c>
      <c r="C11" s="9">
        <f>-'Fane 4.1. Gen. krav - drift'!G58</f>
        <v>-312743.40859258786</v>
      </c>
      <c r="D11" s="8" t="s">
        <v>3</v>
      </c>
      <c r="E11" s="1"/>
    </row>
    <row r="12" spans="1:5" ht="15" customHeight="1" x14ac:dyDescent="0.25">
      <c r="A12" s="1"/>
      <c r="B12" s="60" t="s">
        <v>24</v>
      </c>
      <c r="C12" s="9">
        <f>-'Fane 4.2. Gen. krav - anlæg'!G58</f>
        <v>0</v>
      </c>
      <c r="D12" s="8" t="s">
        <v>3</v>
      </c>
      <c r="E12" s="1"/>
    </row>
    <row r="13" spans="1:5" x14ac:dyDescent="0.25">
      <c r="A13" s="1"/>
      <c r="B13" s="32" t="s">
        <v>19</v>
      </c>
      <c r="C13" s="10">
        <f>SUM(C8:C12)</f>
        <v>41044382.667514555</v>
      </c>
      <c r="D13" s="11" t="s">
        <v>3</v>
      </c>
      <c r="E13" s="1"/>
    </row>
    <row r="14" spans="1:5" x14ac:dyDescent="0.25">
      <c r="A14" s="1"/>
      <c r="B14" s="67" t="s">
        <v>11</v>
      </c>
      <c r="C14" s="68"/>
      <c r="D14" s="19"/>
      <c r="E14" s="1"/>
    </row>
    <row r="15" spans="1:5" ht="15" customHeight="1" x14ac:dyDescent="0.25">
      <c r="A15" s="1"/>
      <c r="B15" s="61" t="s">
        <v>11</v>
      </c>
      <c r="C15" s="10">
        <f>'Fane 6. Ikke-påvirkelige omk.'!C15*(1+'Fane 13. Nøgletal'!C15)^3</f>
        <v>32433710.638699166</v>
      </c>
      <c r="D15" s="11" t="s">
        <v>3</v>
      </c>
      <c r="E15" s="1"/>
    </row>
    <row r="16" spans="1:5" x14ac:dyDescent="0.25">
      <c r="A16" s="1"/>
      <c r="B16" s="67" t="s">
        <v>128</v>
      </c>
      <c r="C16" s="68"/>
      <c r="D16" s="19"/>
      <c r="E16" s="1"/>
    </row>
    <row r="17" spans="1:5" x14ac:dyDescent="0.25">
      <c r="A17" s="1"/>
      <c r="B17" s="61" t="s">
        <v>129</v>
      </c>
      <c r="C17" s="10">
        <v>0</v>
      </c>
      <c r="D17" s="11" t="s">
        <v>3</v>
      </c>
      <c r="E17" s="1"/>
    </row>
    <row r="18" spans="1:5" x14ac:dyDescent="0.25">
      <c r="A18" s="1"/>
      <c r="B18" s="25" t="s">
        <v>153</v>
      </c>
      <c r="C18" s="68"/>
      <c r="D18" s="19"/>
      <c r="E18" s="1"/>
    </row>
    <row r="19" spans="1:5" x14ac:dyDescent="0.25">
      <c r="A19" s="1"/>
      <c r="B19" s="76" t="s">
        <v>154</v>
      </c>
      <c r="C19" s="10">
        <f>'Fane 8. Skattesagen'!G15</f>
        <v>0</v>
      </c>
      <c r="D19" s="11" t="s">
        <v>3</v>
      </c>
      <c r="E19" s="1"/>
    </row>
    <row r="20" spans="1:5" x14ac:dyDescent="0.25">
      <c r="A20" s="1"/>
      <c r="B20" s="67" t="s">
        <v>170</v>
      </c>
      <c r="C20" s="12">
        <f>SUM(C13,C15,C17,C19)</f>
        <v>73478093.306213722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ZKUtbzuBIEl/E45RTw4QM7Tji+gRMFlqY65Ad7Zxk0xFsXU8aZPz6VgCLSh34W+EKwt6XNU48yATsG4CKfx/ew==" saltValue="PODQqKTPqHcCb7Gq0/gc+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8" t="s">
        <v>171</v>
      </c>
      <c r="C3" s="118"/>
      <c r="D3" s="118"/>
      <c r="E3" s="118"/>
      <c r="F3" s="118"/>
      <c r="G3" s="1"/>
    </row>
    <row r="4" spans="1:7" ht="29.25" customHeight="1" x14ac:dyDescent="0.25">
      <c r="A4" s="1"/>
      <c r="B4" s="118"/>
      <c r="C4" s="118"/>
      <c r="D4" s="118"/>
      <c r="E4" s="118"/>
      <c r="F4" s="11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19" t="s">
        <v>22</v>
      </c>
      <c r="C9" s="120"/>
      <c r="D9" s="121"/>
      <c r="E9" s="7">
        <v>26355224.90153268</v>
      </c>
      <c r="F9" s="8" t="s">
        <v>3</v>
      </c>
      <c r="G9" s="1"/>
    </row>
    <row r="10" spans="1:7" ht="15" customHeight="1" x14ac:dyDescent="0.25">
      <c r="A10" s="1"/>
      <c r="B10" s="101" t="s">
        <v>35</v>
      </c>
      <c r="C10" s="102"/>
      <c r="D10" s="103"/>
      <c r="E10" s="9">
        <v>52716.391900000002</v>
      </c>
      <c r="F10" s="8" t="s">
        <v>3</v>
      </c>
      <c r="G10" s="1"/>
    </row>
    <row r="11" spans="1:7" ht="15" customHeight="1" x14ac:dyDescent="0.25">
      <c r="A11" s="1"/>
      <c r="B11" s="101" t="s">
        <v>36</v>
      </c>
      <c r="C11" s="102"/>
      <c r="D11" s="103"/>
      <c r="E11" s="9">
        <v>3289068.2250000001</v>
      </c>
      <c r="F11" s="8" t="s">
        <v>3</v>
      </c>
      <c r="G11" s="1"/>
    </row>
    <row r="12" spans="1:7" x14ac:dyDescent="0.25">
      <c r="A12" s="1"/>
      <c r="B12" s="101" t="s">
        <v>26</v>
      </c>
      <c r="C12" s="102"/>
      <c r="D12" s="103"/>
      <c r="E12" s="9">
        <v>0</v>
      </c>
      <c r="F12" s="8" t="s">
        <v>3</v>
      </c>
      <c r="G12" s="1"/>
    </row>
    <row r="13" spans="1:7" x14ac:dyDescent="0.25">
      <c r="A13" s="1"/>
      <c r="B13" s="101" t="s">
        <v>25</v>
      </c>
      <c r="C13" s="102"/>
      <c r="D13" s="103"/>
      <c r="E13" s="9">
        <v>0</v>
      </c>
      <c r="F13" s="8" t="s">
        <v>3</v>
      </c>
      <c r="G13" s="1"/>
    </row>
    <row r="14" spans="1:7" x14ac:dyDescent="0.25">
      <c r="A14" s="1"/>
      <c r="B14" s="101" t="s">
        <v>114</v>
      </c>
      <c r="C14" s="102"/>
      <c r="D14" s="103"/>
      <c r="E14" s="9">
        <v>0</v>
      </c>
      <c r="F14" s="8" t="s">
        <v>3</v>
      </c>
      <c r="G14" s="1"/>
    </row>
    <row r="15" spans="1:7" x14ac:dyDescent="0.25">
      <c r="A15" s="1"/>
      <c r="B15" s="101" t="s">
        <v>115</v>
      </c>
      <c r="C15" s="102"/>
      <c r="D15" s="103"/>
      <c r="E15" s="9">
        <v>0</v>
      </c>
      <c r="F15" s="8" t="s">
        <v>3</v>
      </c>
      <c r="G15" s="1"/>
    </row>
    <row r="16" spans="1:7" x14ac:dyDescent="0.25">
      <c r="A16" s="1"/>
      <c r="B16" s="101" t="s">
        <v>17</v>
      </c>
      <c r="C16" s="102"/>
      <c r="D16" s="103"/>
      <c r="E16" s="9">
        <v>332561.63303446869</v>
      </c>
      <c r="F16" s="8" t="s">
        <v>3</v>
      </c>
      <c r="G16" s="30"/>
    </row>
    <row r="17" spans="1:7" x14ac:dyDescent="0.25">
      <c r="A17" s="1"/>
      <c r="B17" s="101" t="s">
        <v>9</v>
      </c>
      <c r="C17" s="102"/>
      <c r="D17" s="103"/>
      <c r="E17" s="9">
        <v>-600591.42302934302</v>
      </c>
      <c r="F17" s="8" t="s">
        <v>3</v>
      </c>
      <c r="G17" s="1"/>
    </row>
    <row r="18" spans="1:7" x14ac:dyDescent="0.25">
      <c r="A18" s="1"/>
      <c r="B18" s="101" t="s">
        <v>23</v>
      </c>
      <c r="C18" s="102"/>
      <c r="D18" s="103"/>
      <c r="E18" s="9">
        <v>-292577.23328204715</v>
      </c>
      <c r="F18" s="8" t="s">
        <v>3</v>
      </c>
      <c r="G18" s="1"/>
    </row>
    <row r="19" spans="1:7" x14ac:dyDescent="0.25">
      <c r="A19" s="1"/>
      <c r="B19" s="101" t="s">
        <v>24</v>
      </c>
      <c r="C19" s="102"/>
      <c r="D19" s="103"/>
      <c r="E19" s="9">
        <v>-439774.08573661948</v>
      </c>
      <c r="F19" s="8" t="s">
        <v>3</v>
      </c>
      <c r="G19" s="1"/>
    </row>
    <row r="20" spans="1:7" x14ac:dyDescent="0.25">
      <c r="A20" s="1"/>
      <c r="B20" s="104" t="s">
        <v>19</v>
      </c>
      <c r="C20" s="105"/>
      <c r="D20" s="106"/>
      <c r="E20" s="31">
        <f>SUM(E9:E19)</f>
        <v>28696628.409419134</v>
      </c>
      <c r="F20" s="33" t="s">
        <v>3</v>
      </c>
      <c r="G20" s="1"/>
    </row>
    <row r="21" spans="1:7" x14ac:dyDescent="0.25">
      <c r="A21" s="1"/>
      <c r="B21" s="67" t="s">
        <v>11</v>
      </c>
      <c r="C21" s="68"/>
      <c r="D21" s="68"/>
      <c r="E21" s="68"/>
      <c r="F21" s="19"/>
      <c r="G21" s="1"/>
    </row>
    <row r="22" spans="1:7" x14ac:dyDescent="0.25">
      <c r="A22" s="1"/>
      <c r="B22" s="112" t="s">
        <v>11</v>
      </c>
      <c r="C22" s="113"/>
      <c r="D22" s="114"/>
      <c r="E22" s="10">
        <v>26134854.958411355</v>
      </c>
      <c r="F22" s="11" t="s">
        <v>3</v>
      </c>
      <c r="G22" s="1"/>
    </row>
    <row r="23" spans="1:7" ht="15" customHeight="1" x14ac:dyDescent="0.25">
      <c r="A23" s="1"/>
      <c r="B23" s="110" t="s">
        <v>80</v>
      </c>
      <c r="C23" s="111"/>
      <c r="D23" s="111"/>
      <c r="E23" s="68"/>
      <c r="F23" s="68"/>
      <c r="G23" s="1"/>
    </row>
    <row r="24" spans="1:7" ht="14.25" customHeight="1" x14ac:dyDescent="0.25">
      <c r="A24" s="1"/>
      <c r="B24" s="98" t="s">
        <v>76</v>
      </c>
      <c r="C24" s="99"/>
      <c r="D24" s="100"/>
      <c r="E24" s="9">
        <v>0</v>
      </c>
      <c r="F24" s="8" t="s">
        <v>3</v>
      </c>
      <c r="G24" s="1"/>
    </row>
    <row r="25" spans="1:7" ht="14.25" customHeight="1" x14ac:dyDescent="0.25">
      <c r="A25" s="1"/>
      <c r="B25" s="98" t="s">
        <v>77</v>
      </c>
      <c r="C25" s="99"/>
      <c r="D25" s="100"/>
      <c r="E25" s="9">
        <v>0</v>
      </c>
      <c r="F25" s="8" t="s">
        <v>3</v>
      </c>
      <c r="G25" s="1"/>
    </row>
    <row r="26" spans="1:7" x14ac:dyDescent="0.25">
      <c r="A26" s="1"/>
      <c r="B26" s="107" t="s">
        <v>81</v>
      </c>
      <c r="C26" s="108"/>
      <c r="D26" s="108"/>
      <c r="E26" s="10">
        <v>0</v>
      </c>
      <c r="F26" s="11" t="s">
        <v>3</v>
      </c>
      <c r="G26" s="1"/>
    </row>
    <row r="27" spans="1:7" x14ac:dyDescent="0.25">
      <c r="A27" s="1"/>
      <c r="B27" s="67" t="s">
        <v>128</v>
      </c>
      <c r="C27" s="68"/>
      <c r="D27" s="68"/>
      <c r="E27" s="68"/>
      <c r="F27" s="19"/>
      <c r="G27" s="1"/>
    </row>
    <row r="28" spans="1:7" ht="15" customHeight="1" x14ac:dyDescent="0.25">
      <c r="A28" s="1"/>
      <c r="B28" s="107" t="s">
        <v>129</v>
      </c>
      <c r="C28" s="108"/>
      <c r="D28" s="109"/>
      <c r="E28" s="10">
        <v>-2972959.8438426703</v>
      </c>
      <c r="F28" s="11" t="s">
        <v>3</v>
      </c>
      <c r="G28" s="1"/>
    </row>
    <row r="29" spans="1:7" x14ac:dyDescent="0.25">
      <c r="A29" s="1"/>
      <c r="B29" s="67" t="s">
        <v>159</v>
      </c>
      <c r="C29" s="68"/>
      <c r="D29" s="68"/>
      <c r="E29" s="68"/>
      <c r="F29" s="19"/>
      <c r="G29" s="1"/>
    </row>
    <row r="30" spans="1:7" ht="15.75" customHeight="1" x14ac:dyDescent="0.25">
      <c r="A30" s="1"/>
      <c r="B30" s="112" t="s">
        <v>160</v>
      </c>
      <c r="C30" s="113"/>
      <c r="D30" s="114"/>
      <c r="E30" s="10">
        <v>0</v>
      </c>
      <c r="F30" s="11" t="s">
        <v>3</v>
      </c>
      <c r="G30" s="1"/>
    </row>
    <row r="31" spans="1:7" ht="15.75" customHeight="1" x14ac:dyDescent="0.25">
      <c r="A31" s="1"/>
      <c r="B31" s="115" t="s">
        <v>153</v>
      </c>
      <c r="C31" s="116"/>
      <c r="D31" s="116"/>
      <c r="E31" s="116"/>
      <c r="F31" s="117"/>
      <c r="G31" s="1"/>
    </row>
    <row r="32" spans="1:7" ht="15.75" customHeight="1" x14ac:dyDescent="0.25">
      <c r="A32" s="1"/>
      <c r="B32" s="76" t="s">
        <v>154</v>
      </c>
      <c r="C32" s="10"/>
      <c r="D32" s="11"/>
      <c r="E32" s="10">
        <f>'Fane 8. Skattesagen'!G11</f>
        <v>0</v>
      </c>
      <c r="F32" s="11" t="s">
        <v>3</v>
      </c>
      <c r="G32" s="1"/>
    </row>
    <row r="33" spans="1:7" x14ac:dyDescent="0.25">
      <c r="A33" s="1"/>
      <c r="B33" s="67" t="s">
        <v>27</v>
      </c>
      <c r="C33" s="68"/>
      <c r="D33" s="68"/>
      <c r="E33" s="12">
        <f>E20+E22+E26+E28+E30+E32</f>
        <v>51858523.523987815</v>
      </c>
      <c r="F33" s="13" t="s">
        <v>3</v>
      </c>
      <c r="G33" s="1"/>
    </row>
    <row r="34" spans="1:7" ht="27.75" customHeight="1" x14ac:dyDescent="0.25">
      <c r="A34" s="1"/>
      <c r="B34" s="98" t="s">
        <v>173</v>
      </c>
      <c r="C34" s="99"/>
      <c r="D34" s="99"/>
      <c r="E34" s="99"/>
      <c r="F34" s="100"/>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xcsVmIQ+mJnHTNd2W4uWDdB0At22ex9Zxsvjip7MeBM/Ajvep02A9cRnnkKx5o+g6+mq9SwmHXtlDuPDY0z8hw==" saltValue="ryeZy3QtRx8fqrYgvnoP7Q=="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8" customWidth="1"/>
    <col min="8" max="8" width="3.7109375" style="2" customWidth="1"/>
    <col min="9" max="9" width="6.7109375" style="2" customWidth="1"/>
    <col min="10" max="16384" width="9" style="2"/>
  </cols>
  <sheetData>
    <row r="1" spans="1:9" ht="15" customHeight="1" x14ac:dyDescent="0.25">
      <c r="A1" s="1"/>
      <c r="B1" s="118" t="s">
        <v>98</v>
      </c>
      <c r="C1" s="118"/>
      <c r="D1" s="118"/>
      <c r="E1" s="118"/>
      <c r="F1" s="118"/>
      <c r="G1" s="118"/>
      <c r="H1" s="118"/>
      <c r="I1" s="1"/>
    </row>
    <row r="2" spans="1:9" ht="15" customHeight="1" x14ac:dyDescent="0.25">
      <c r="A2" s="1"/>
      <c r="B2" s="118"/>
      <c r="C2" s="118"/>
      <c r="D2" s="118"/>
      <c r="E2" s="118"/>
      <c r="F2" s="118"/>
      <c r="G2" s="118"/>
      <c r="H2" s="118"/>
      <c r="I2" s="1"/>
    </row>
    <row r="3" spans="1:9" ht="15" customHeight="1" x14ac:dyDescent="0.25">
      <c r="A3" s="1"/>
      <c r="B3" s="118"/>
      <c r="C3" s="118"/>
      <c r="D3" s="118"/>
      <c r="E3" s="118"/>
      <c r="F3" s="118"/>
      <c r="G3" s="118"/>
      <c r="H3" s="118"/>
      <c r="I3" s="1"/>
    </row>
    <row r="4" spans="1:9" x14ac:dyDescent="0.25">
      <c r="A4" s="1"/>
      <c r="B4" s="115" t="s">
        <v>49</v>
      </c>
      <c r="C4" s="116"/>
      <c r="D4" s="116"/>
      <c r="E4" s="116"/>
      <c r="F4" s="116"/>
      <c r="G4" s="116"/>
      <c r="H4" s="117"/>
      <c r="I4" s="1"/>
    </row>
    <row r="5" spans="1:9" x14ac:dyDescent="0.25">
      <c r="A5" s="1"/>
      <c r="B5" s="122" t="s">
        <v>38</v>
      </c>
      <c r="C5" s="123"/>
      <c r="D5" s="123"/>
      <c r="E5" s="123"/>
      <c r="F5" s="124"/>
      <c r="G5" s="53">
        <v>14912587.767634995</v>
      </c>
      <c r="H5" s="14" t="s">
        <v>3</v>
      </c>
      <c r="I5" s="1"/>
    </row>
    <row r="6" spans="1:9" x14ac:dyDescent="0.25">
      <c r="A6" s="1"/>
      <c r="B6" s="122" t="s">
        <v>39</v>
      </c>
      <c r="C6" s="123"/>
      <c r="D6" s="123"/>
      <c r="E6" s="123"/>
      <c r="F6" s="124"/>
      <c r="G6" s="53">
        <f>G5*'Fane 13. Nøgletal'!C31</f>
        <v>298251.7553526999</v>
      </c>
      <c r="H6" s="14" t="s">
        <v>3</v>
      </c>
      <c r="I6" s="1"/>
    </row>
    <row r="7" spans="1:9" x14ac:dyDescent="0.25">
      <c r="A7" s="1"/>
      <c r="B7" s="67"/>
      <c r="C7" s="68"/>
      <c r="D7" s="68"/>
      <c r="E7" s="68"/>
      <c r="F7" s="68"/>
      <c r="G7" s="54"/>
      <c r="H7" s="19"/>
      <c r="I7" s="1"/>
    </row>
    <row r="8" spans="1:9" x14ac:dyDescent="0.25">
      <c r="A8" s="1"/>
      <c r="B8" s="1"/>
      <c r="C8" s="1"/>
      <c r="D8" s="1"/>
      <c r="E8" s="1"/>
      <c r="F8" s="1"/>
      <c r="G8" s="55"/>
      <c r="H8" s="1"/>
      <c r="I8" s="1"/>
    </row>
    <row r="9" spans="1:9" x14ac:dyDescent="0.25">
      <c r="A9" s="1"/>
      <c r="B9" s="115" t="s">
        <v>50</v>
      </c>
      <c r="C9" s="116"/>
      <c r="D9" s="116"/>
      <c r="E9" s="116"/>
      <c r="F9" s="116"/>
      <c r="G9" s="128"/>
      <c r="H9" s="117"/>
      <c r="I9" s="1"/>
    </row>
    <row r="10" spans="1:9" x14ac:dyDescent="0.25">
      <c r="A10" s="1"/>
      <c r="B10" s="122" t="s">
        <v>40</v>
      </c>
      <c r="C10" s="123"/>
      <c r="D10" s="123"/>
      <c r="E10" s="123"/>
      <c r="F10" s="124"/>
      <c r="G10" s="53">
        <f>(G5-G6)*(1+'Fane 13. Nøgletal'!C9)</f>
        <v>14799938.07963828</v>
      </c>
      <c r="H10" s="14" t="s">
        <v>3</v>
      </c>
      <c r="I10" s="1"/>
    </row>
    <row r="11" spans="1:9" x14ac:dyDescent="0.25">
      <c r="A11" s="1"/>
      <c r="B11" s="125" t="s">
        <v>41</v>
      </c>
      <c r="C11" s="126"/>
      <c r="D11" s="126"/>
      <c r="E11" s="126"/>
      <c r="F11" s="127"/>
      <c r="G11" s="53">
        <v>0</v>
      </c>
      <c r="H11" s="14" t="s">
        <v>3</v>
      </c>
      <c r="I11" s="1"/>
    </row>
    <row r="12" spans="1:9" x14ac:dyDescent="0.25">
      <c r="A12" s="1"/>
      <c r="B12" s="122" t="s">
        <v>42</v>
      </c>
      <c r="C12" s="123"/>
      <c r="D12" s="123"/>
      <c r="E12" s="123"/>
      <c r="F12" s="124"/>
      <c r="G12" s="53">
        <f>(G10+G11)*'Fane 13. Nøgletal'!C31</f>
        <v>295998.76159276563</v>
      </c>
      <c r="H12" s="14" t="s">
        <v>3</v>
      </c>
      <c r="I12" s="1"/>
    </row>
    <row r="13" spans="1:9" x14ac:dyDescent="0.25">
      <c r="A13" s="1"/>
      <c r="B13" s="67"/>
      <c r="C13" s="68"/>
      <c r="D13" s="68"/>
      <c r="E13" s="68"/>
      <c r="F13" s="68"/>
      <c r="G13" s="54"/>
      <c r="H13" s="19"/>
      <c r="I13" s="1"/>
    </row>
    <row r="14" spans="1:9" x14ac:dyDescent="0.25">
      <c r="A14" s="1"/>
      <c r="B14" s="1"/>
      <c r="C14" s="1"/>
      <c r="D14" s="1"/>
      <c r="E14" s="1"/>
      <c r="F14" s="1"/>
      <c r="G14" s="55"/>
      <c r="H14" s="1"/>
      <c r="I14" s="1"/>
    </row>
    <row r="15" spans="1:9" x14ac:dyDescent="0.25">
      <c r="A15" s="1"/>
      <c r="B15" s="115" t="s">
        <v>51</v>
      </c>
      <c r="C15" s="116"/>
      <c r="D15" s="116"/>
      <c r="E15" s="116"/>
      <c r="F15" s="116"/>
      <c r="G15" s="128"/>
      <c r="H15" s="117"/>
      <c r="I15" s="1"/>
    </row>
    <row r="16" spans="1:9" x14ac:dyDescent="0.25">
      <c r="A16" s="1"/>
      <c r="B16" s="122" t="s">
        <v>43</v>
      </c>
      <c r="C16" s="123"/>
      <c r="D16" s="123"/>
      <c r="E16" s="123"/>
      <c r="F16" s="124"/>
      <c r="G16" s="53">
        <f>(G10+G11-G12)*(1+'Fane 13. Nøgletal'!C11)</f>
        <v>14749055.892520482</v>
      </c>
      <c r="H16" s="14" t="s">
        <v>3</v>
      </c>
      <c r="I16" s="1"/>
    </row>
    <row r="17" spans="1:9" x14ac:dyDescent="0.25">
      <c r="A17" s="1"/>
      <c r="B17" s="122" t="s">
        <v>108</v>
      </c>
      <c r="C17" s="123"/>
      <c r="D17" s="123"/>
      <c r="E17" s="123"/>
      <c r="F17" s="124"/>
      <c r="G17" s="53">
        <v>0</v>
      </c>
      <c r="H17" s="14" t="s">
        <v>3</v>
      </c>
      <c r="I17" s="1"/>
    </row>
    <row r="18" spans="1:9" x14ac:dyDescent="0.25">
      <c r="A18" s="1"/>
      <c r="B18" s="125" t="s">
        <v>44</v>
      </c>
      <c r="C18" s="126"/>
      <c r="D18" s="126"/>
      <c r="E18" s="126"/>
      <c r="F18" s="127"/>
      <c r="G18" s="53">
        <v>0</v>
      </c>
      <c r="H18" s="14" t="s">
        <v>3</v>
      </c>
      <c r="I18" s="1"/>
    </row>
    <row r="19" spans="1:9" x14ac:dyDescent="0.25">
      <c r="A19" s="1"/>
      <c r="B19" s="122" t="s">
        <v>45</v>
      </c>
      <c r="C19" s="123"/>
      <c r="D19" s="123"/>
      <c r="E19" s="123"/>
      <c r="F19" s="124"/>
      <c r="G19" s="53">
        <f>SUM(G16:G18)*'Fane 13. Nøgletal'!C31</f>
        <v>294981.11785040965</v>
      </c>
      <c r="H19" s="14" t="s">
        <v>3</v>
      </c>
      <c r="I19" s="1"/>
    </row>
    <row r="20" spans="1:9" x14ac:dyDescent="0.25">
      <c r="A20" s="1"/>
      <c r="B20" s="67"/>
      <c r="C20" s="68"/>
      <c r="D20" s="68"/>
      <c r="E20" s="68"/>
      <c r="F20" s="68"/>
      <c r="G20" s="54"/>
      <c r="H20" s="19"/>
      <c r="I20" s="1"/>
    </row>
    <row r="21" spans="1:9" x14ac:dyDescent="0.25">
      <c r="A21" s="1"/>
      <c r="B21" s="1"/>
      <c r="C21" s="1"/>
      <c r="D21" s="1"/>
      <c r="E21" s="1"/>
      <c r="F21" s="1"/>
      <c r="G21" s="55"/>
      <c r="H21" s="1"/>
      <c r="I21" s="1"/>
    </row>
    <row r="22" spans="1:9" x14ac:dyDescent="0.25">
      <c r="A22" s="1"/>
      <c r="B22" s="115" t="s">
        <v>52</v>
      </c>
      <c r="C22" s="116"/>
      <c r="D22" s="116"/>
      <c r="E22" s="116"/>
      <c r="F22" s="116"/>
      <c r="G22" s="128"/>
      <c r="H22" s="117"/>
      <c r="I22" s="1"/>
    </row>
    <row r="23" spans="1:9" x14ac:dyDescent="0.25">
      <c r="A23" s="1"/>
      <c r="B23" s="122" t="s">
        <v>46</v>
      </c>
      <c r="C23" s="123"/>
      <c r="D23" s="123"/>
      <c r="E23" s="123"/>
      <c r="F23" s="124"/>
      <c r="G23" s="53">
        <f>(SUM(G16:G18)-G19)*(1+'Fane 13. Nøgletal'!C11)</f>
        <v>14698348.638361994</v>
      </c>
      <c r="H23" s="14" t="s">
        <v>3</v>
      </c>
      <c r="I23" s="1"/>
    </row>
    <row r="24" spans="1:9" x14ac:dyDescent="0.25">
      <c r="A24" s="1"/>
      <c r="B24" s="125" t="s">
        <v>47</v>
      </c>
      <c r="C24" s="126"/>
      <c r="D24" s="126"/>
      <c r="E24" s="126"/>
      <c r="F24" s="127"/>
      <c r="G24" s="53">
        <v>64651.943860020008</v>
      </c>
      <c r="H24" s="14" t="s">
        <v>3</v>
      </c>
      <c r="I24" s="1"/>
    </row>
    <row r="25" spans="1:9" x14ac:dyDescent="0.25">
      <c r="A25" s="1"/>
      <c r="B25" s="122" t="s">
        <v>48</v>
      </c>
      <c r="C25" s="123"/>
      <c r="D25" s="123"/>
      <c r="E25" s="123"/>
      <c r="F25" s="124"/>
      <c r="G25" s="53">
        <f>(G23+G24)*'Fane 13. Nøgletal'!C31</f>
        <v>295260.0116444403</v>
      </c>
      <c r="H25" s="14" t="s">
        <v>3</v>
      </c>
      <c r="I25" s="1"/>
    </row>
    <row r="26" spans="1:9" x14ac:dyDescent="0.25">
      <c r="A26" s="1"/>
      <c r="B26" s="67"/>
      <c r="C26" s="68"/>
      <c r="D26" s="68"/>
      <c r="E26" s="68"/>
      <c r="F26" s="68"/>
      <c r="G26" s="54"/>
      <c r="H26" s="19"/>
      <c r="I26" s="1"/>
    </row>
    <row r="27" spans="1:9" x14ac:dyDescent="0.25">
      <c r="A27" s="1"/>
      <c r="B27" s="1"/>
      <c r="C27" s="1"/>
      <c r="D27" s="1"/>
      <c r="E27" s="1"/>
      <c r="F27" s="1"/>
      <c r="G27" s="55"/>
      <c r="H27" s="1"/>
      <c r="I27" s="1"/>
    </row>
    <row r="28" spans="1:9" x14ac:dyDescent="0.25">
      <c r="A28" s="1"/>
      <c r="B28" s="115" t="s">
        <v>132</v>
      </c>
      <c r="C28" s="116"/>
      <c r="D28" s="116"/>
      <c r="E28" s="116"/>
      <c r="F28" s="116"/>
      <c r="G28" s="128"/>
      <c r="H28" s="117"/>
      <c r="I28" s="1"/>
    </row>
    <row r="29" spans="1:9" x14ac:dyDescent="0.25">
      <c r="A29" s="1"/>
      <c r="B29" s="122" t="s">
        <v>55</v>
      </c>
      <c r="C29" s="123"/>
      <c r="D29" s="123"/>
      <c r="E29" s="123"/>
      <c r="F29" s="124"/>
      <c r="G29" s="53">
        <f>(G23+G24-G25)*(1+'Fane 13. Nøgletal'!C13)</f>
        <v>14644247.005538622</v>
      </c>
      <c r="H29" s="14" t="s">
        <v>3</v>
      </c>
      <c r="I29" s="1"/>
    </row>
    <row r="30" spans="1:9" x14ac:dyDescent="0.25">
      <c r="A30" s="1"/>
      <c r="B30" s="122" t="s">
        <v>121</v>
      </c>
      <c r="C30" s="123"/>
      <c r="D30" s="123"/>
      <c r="E30" s="123"/>
      <c r="F30" s="124"/>
      <c r="G30" s="53">
        <v>49924.21587552</v>
      </c>
      <c r="H30" s="14" t="s">
        <v>3</v>
      </c>
      <c r="I30" s="1"/>
    </row>
    <row r="31" spans="1:9" x14ac:dyDescent="0.25">
      <c r="A31" s="1"/>
      <c r="B31" s="122" t="s">
        <v>126</v>
      </c>
      <c r="C31" s="123"/>
      <c r="D31" s="123"/>
      <c r="E31" s="123"/>
      <c r="F31" s="124"/>
      <c r="G31" s="53">
        <f>(G29+G30)*'Fane 13. Nøgletal'!C31</f>
        <v>293883.42442828283</v>
      </c>
      <c r="H31" s="14" t="s">
        <v>3</v>
      </c>
      <c r="I31" s="1"/>
    </row>
    <row r="32" spans="1:9" x14ac:dyDescent="0.25">
      <c r="A32" s="1"/>
      <c r="B32" s="67"/>
      <c r="C32" s="68"/>
      <c r="D32" s="68"/>
      <c r="E32" s="68"/>
      <c r="F32" s="68"/>
      <c r="G32" s="54"/>
      <c r="H32" s="19"/>
      <c r="I32" s="1"/>
    </row>
    <row r="33" spans="1:9" x14ac:dyDescent="0.25">
      <c r="A33" s="1"/>
      <c r="B33" s="1"/>
      <c r="C33" s="1"/>
      <c r="D33" s="1"/>
      <c r="E33" s="1"/>
      <c r="F33" s="1"/>
      <c r="G33" s="55"/>
      <c r="H33" s="1"/>
      <c r="I33" s="1"/>
    </row>
    <row r="34" spans="1:9" x14ac:dyDescent="0.25">
      <c r="A34" s="1"/>
      <c r="B34" s="115" t="s">
        <v>133</v>
      </c>
      <c r="C34" s="116"/>
      <c r="D34" s="116"/>
      <c r="E34" s="116"/>
      <c r="F34" s="116"/>
      <c r="G34" s="128"/>
      <c r="H34" s="117"/>
      <c r="I34" s="1"/>
    </row>
    <row r="35" spans="1:9" x14ac:dyDescent="0.25">
      <c r="A35" s="1"/>
      <c r="B35" s="122" t="s">
        <v>74</v>
      </c>
      <c r="C35" s="123"/>
      <c r="D35" s="123"/>
      <c r="E35" s="123"/>
      <c r="F35" s="124"/>
      <c r="G35" s="53">
        <f>(G29+G30-G31)*(1+'Fane 13. Nøgletal'!C13)</f>
        <v>14575971.308109086</v>
      </c>
      <c r="H35" s="14" t="s">
        <v>3</v>
      </c>
      <c r="I35" s="1"/>
    </row>
    <row r="36" spans="1:9" x14ac:dyDescent="0.25">
      <c r="A36" s="1"/>
      <c r="B36" s="122" t="s">
        <v>152</v>
      </c>
      <c r="C36" s="123"/>
      <c r="D36" s="123"/>
      <c r="E36" s="123"/>
      <c r="F36" s="124"/>
      <c r="G36" s="53">
        <f>('Fane 3. Omkostninger i ØR2022'!E10+'Fane 3. Omkostninger i ØR2022'!E12+'Fane 3. Omkostninger i ØR2022'!E14)*(1+'Fane 13. Nøgletal'!C14)</f>
        <v>52890.355993270008</v>
      </c>
      <c r="H36" s="14" t="s">
        <v>3</v>
      </c>
      <c r="I36" s="1"/>
    </row>
    <row r="37" spans="1:9" x14ac:dyDescent="0.25">
      <c r="A37" s="1"/>
      <c r="B37" s="122" t="s">
        <v>134</v>
      </c>
      <c r="C37" s="123"/>
      <c r="D37" s="123"/>
      <c r="E37" s="123"/>
      <c r="F37" s="124"/>
      <c r="G37" s="53">
        <f>(G35+G36)*'Fane 13. Nøgletal'!C31</f>
        <v>292577.23328204715</v>
      </c>
      <c r="H37" s="14" t="s">
        <v>3</v>
      </c>
      <c r="I37" s="1"/>
    </row>
    <row r="38" spans="1:9" x14ac:dyDescent="0.25">
      <c r="A38" s="1"/>
      <c r="B38" s="67"/>
      <c r="C38" s="68"/>
      <c r="D38" s="68"/>
      <c r="E38" s="68"/>
      <c r="F38" s="68"/>
      <c r="G38" s="54"/>
      <c r="H38" s="19"/>
      <c r="I38" s="1"/>
    </row>
    <row r="39" spans="1:9" x14ac:dyDescent="0.25">
      <c r="A39" s="1"/>
      <c r="B39" s="1"/>
      <c r="C39" s="1"/>
      <c r="D39" s="1"/>
      <c r="E39" s="1"/>
      <c r="F39" s="1"/>
      <c r="G39" s="55"/>
      <c r="H39" s="1"/>
      <c r="I39" s="1"/>
    </row>
    <row r="40" spans="1:9" x14ac:dyDescent="0.25">
      <c r="A40" s="1"/>
      <c r="B40" s="115" t="s">
        <v>198</v>
      </c>
      <c r="C40" s="116"/>
      <c r="D40" s="116"/>
      <c r="E40" s="116"/>
      <c r="F40" s="116"/>
      <c r="G40" s="128"/>
      <c r="H40" s="117"/>
      <c r="I40" s="1"/>
    </row>
    <row r="41" spans="1:9" x14ac:dyDescent="0.25">
      <c r="A41" s="1"/>
      <c r="B41" s="122" t="s">
        <v>73</v>
      </c>
      <c r="C41" s="123"/>
      <c r="D41" s="123"/>
      <c r="E41" s="123"/>
      <c r="F41" s="124"/>
      <c r="G41" s="53">
        <f>(G35+G36-G37)*(1+'Fane 13. Nøgletal'!C15)</f>
        <v>14846656.156557515</v>
      </c>
      <c r="H41" s="14" t="s">
        <v>3</v>
      </c>
      <c r="I41" s="1"/>
    </row>
    <row r="42" spans="1:9" x14ac:dyDescent="0.25">
      <c r="A42" s="1"/>
      <c r="B42" s="122" t="s">
        <v>197</v>
      </c>
      <c r="C42" s="123"/>
      <c r="D42" s="123"/>
      <c r="E42" s="123"/>
      <c r="F42" s="124"/>
      <c r="G42" s="53">
        <f>('Fane 2.1. Økonomisk ramme 2023'!C9+'Fane 2.1. Økonomisk ramme 2023'!C11+'Fane 2.1. Økonomisk ramme 2023'!C13)*(1+'Fane 13. Nøgletal'!C15)</f>
        <v>112387.07205648003</v>
      </c>
      <c r="H42" s="14" t="s">
        <v>3</v>
      </c>
      <c r="I42" s="1"/>
    </row>
    <row r="43" spans="1:9" x14ac:dyDescent="0.25">
      <c r="A43" s="1"/>
      <c r="B43" s="122" t="s">
        <v>208</v>
      </c>
      <c r="C43" s="123"/>
      <c r="D43" s="123"/>
      <c r="E43" s="123"/>
      <c r="F43" s="124"/>
      <c r="G43" s="53">
        <f>(G41+G42)*'Fane 13. Nøgletal'!C31</f>
        <v>299180.86457227991</v>
      </c>
      <c r="H43" s="14" t="s">
        <v>3</v>
      </c>
      <c r="I43" s="1"/>
    </row>
    <row r="44" spans="1:9" x14ac:dyDescent="0.25">
      <c r="A44" s="1"/>
      <c r="B44" s="67"/>
      <c r="C44" s="68"/>
      <c r="D44" s="68"/>
      <c r="E44" s="68"/>
      <c r="F44" s="68"/>
      <c r="G44" s="54"/>
      <c r="H44" s="19"/>
      <c r="I44" s="1"/>
    </row>
    <row r="45" spans="1:9" x14ac:dyDescent="0.25">
      <c r="A45" s="1"/>
      <c r="B45" s="1"/>
      <c r="C45" s="1"/>
      <c r="D45" s="1"/>
      <c r="E45" s="1"/>
      <c r="F45" s="1"/>
      <c r="G45" s="55"/>
      <c r="H45" s="1"/>
      <c r="I45" s="1"/>
    </row>
    <row r="46" spans="1:9" x14ac:dyDescent="0.25">
      <c r="A46" s="1"/>
      <c r="B46" s="115" t="s">
        <v>199</v>
      </c>
      <c r="C46" s="116"/>
      <c r="D46" s="116"/>
      <c r="E46" s="116"/>
      <c r="F46" s="116"/>
      <c r="G46" s="128"/>
      <c r="H46" s="117"/>
      <c r="I46" s="1"/>
    </row>
    <row r="47" spans="1:9" x14ac:dyDescent="0.25">
      <c r="A47" s="1"/>
      <c r="B47" s="122" t="s">
        <v>122</v>
      </c>
      <c r="C47" s="123"/>
      <c r="D47" s="123"/>
      <c r="E47" s="123"/>
      <c r="F47" s="124"/>
      <c r="G47" s="53">
        <f>(G41+G42-G43)*(1+'Fane 13. Nøgletal'!C15)</f>
        <v>15181753.464201601</v>
      </c>
      <c r="H47" s="14" t="s">
        <v>3</v>
      </c>
      <c r="I47" s="1"/>
    </row>
    <row r="48" spans="1:9" x14ac:dyDescent="0.25">
      <c r="A48" s="1"/>
      <c r="B48" s="122" t="s">
        <v>209</v>
      </c>
      <c r="C48" s="123"/>
      <c r="D48" s="123"/>
      <c r="E48" s="123"/>
      <c r="F48" s="124"/>
      <c r="G48" s="53">
        <f>(G47)*'Fane 13. Nøgletal'!C31</f>
        <v>303635.06928403204</v>
      </c>
      <c r="H48" s="14" t="s">
        <v>3</v>
      </c>
      <c r="I48" s="1"/>
    </row>
    <row r="49" spans="1:9" x14ac:dyDescent="0.25">
      <c r="A49" s="1"/>
      <c r="B49" s="67"/>
      <c r="C49" s="68"/>
      <c r="D49" s="68"/>
      <c r="E49" s="68"/>
      <c r="F49" s="68"/>
      <c r="G49" s="54"/>
      <c r="H49" s="19"/>
      <c r="I49" s="1"/>
    </row>
    <row r="50" spans="1:9" x14ac:dyDescent="0.25">
      <c r="A50" s="1"/>
      <c r="B50" s="1"/>
      <c r="C50" s="1"/>
      <c r="D50" s="1"/>
      <c r="E50" s="1"/>
      <c r="F50" s="1"/>
      <c r="G50" s="55"/>
      <c r="H50" s="1"/>
      <c r="I50" s="1"/>
    </row>
    <row r="51" spans="1:9" x14ac:dyDescent="0.25">
      <c r="A51" s="1"/>
      <c r="B51" s="115" t="s">
        <v>145</v>
      </c>
      <c r="C51" s="116"/>
      <c r="D51" s="116"/>
      <c r="E51" s="116"/>
      <c r="F51" s="116"/>
      <c r="G51" s="128"/>
      <c r="H51" s="117"/>
      <c r="I51" s="1"/>
    </row>
    <row r="52" spans="1:9" x14ac:dyDescent="0.25">
      <c r="A52" s="1"/>
      <c r="B52" s="122" t="s">
        <v>146</v>
      </c>
      <c r="C52" s="123"/>
      <c r="D52" s="123"/>
      <c r="E52" s="123"/>
      <c r="F52" s="124"/>
      <c r="G52" s="53">
        <f>(G47-G48)*(1+'Fane 13. Nøgletal'!C15)</f>
        <v>15407779.409776637</v>
      </c>
      <c r="H52" s="14" t="s">
        <v>3</v>
      </c>
      <c r="I52" s="1"/>
    </row>
    <row r="53" spans="1:9" x14ac:dyDescent="0.25">
      <c r="A53" s="1"/>
      <c r="B53" s="122" t="s">
        <v>147</v>
      </c>
      <c r="C53" s="123"/>
      <c r="D53" s="123"/>
      <c r="E53" s="123"/>
      <c r="F53" s="124"/>
      <c r="G53" s="53">
        <f>(G52)*'Fane 13. Nøgletal'!C31</f>
        <v>308155.58819553273</v>
      </c>
      <c r="H53" s="14" t="s">
        <v>3</v>
      </c>
      <c r="I53" s="1"/>
    </row>
    <row r="54" spans="1:9" x14ac:dyDescent="0.25">
      <c r="A54" s="1"/>
      <c r="B54" s="67"/>
      <c r="C54" s="68"/>
      <c r="D54" s="68"/>
      <c r="E54" s="68"/>
      <c r="F54" s="68"/>
      <c r="G54" s="54"/>
      <c r="H54" s="19"/>
      <c r="I54" s="1"/>
    </row>
    <row r="55" spans="1:9" x14ac:dyDescent="0.25">
      <c r="A55" s="1"/>
      <c r="B55" s="1"/>
      <c r="C55" s="1"/>
      <c r="D55" s="1"/>
      <c r="E55" s="1"/>
      <c r="F55" s="1"/>
      <c r="G55" s="55"/>
      <c r="H55" s="1"/>
      <c r="I55" s="1"/>
    </row>
    <row r="56" spans="1:9" x14ac:dyDescent="0.25">
      <c r="A56" s="1"/>
      <c r="B56" s="115" t="s">
        <v>174</v>
      </c>
      <c r="C56" s="116"/>
      <c r="D56" s="116"/>
      <c r="E56" s="116"/>
      <c r="F56" s="116"/>
      <c r="G56" s="128"/>
      <c r="H56" s="117"/>
      <c r="I56" s="1"/>
    </row>
    <row r="57" spans="1:9" x14ac:dyDescent="0.25">
      <c r="A57" s="1"/>
      <c r="B57" s="122" t="s">
        <v>175</v>
      </c>
      <c r="C57" s="123"/>
      <c r="D57" s="123"/>
      <c r="E57" s="123"/>
      <c r="F57" s="124"/>
      <c r="G57" s="53">
        <f>(G52-G53)*(1+'Fane 13. Nøgletal'!C15)</f>
        <v>15637170.429629393</v>
      </c>
      <c r="H57" s="14" t="s">
        <v>3</v>
      </c>
      <c r="I57" s="1"/>
    </row>
    <row r="58" spans="1:9" x14ac:dyDescent="0.25">
      <c r="A58" s="1"/>
      <c r="B58" s="122" t="s">
        <v>176</v>
      </c>
      <c r="C58" s="123"/>
      <c r="D58" s="123"/>
      <c r="E58" s="123"/>
      <c r="F58" s="124"/>
      <c r="G58" s="53">
        <f>(G57)*'Fane 13. Nøgletal'!C31</f>
        <v>312743.40859258786</v>
      </c>
      <c r="H58" s="14" t="s">
        <v>3</v>
      </c>
      <c r="I58" s="1"/>
    </row>
    <row r="59" spans="1:9" x14ac:dyDescent="0.25">
      <c r="A59" s="1"/>
      <c r="B59" s="67"/>
      <c r="C59" s="68"/>
      <c r="D59" s="68"/>
      <c r="E59" s="68"/>
      <c r="F59" s="68"/>
      <c r="G59" s="36"/>
      <c r="H59" s="19"/>
      <c r="I59" s="1"/>
    </row>
    <row r="60" spans="1:9" x14ac:dyDescent="0.25">
      <c r="A60" s="1"/>
      <c r="B60" s="1"/>
      <c r="C60" s="1"/>
      <c r="D60" s="1"/>
      <c r="E60" s="1"/>
      <c r="F60" s="1"/>
      <c r="G60" s="37"/>
      <c r="H60" s="1"/>
      <c r="I60" s="1"/>
    </row>
    <row r="61" spans="1:9" x14ac:dyDescent="0.25">
      <c r="A61" s="1"/>
      <c r="B61" s="1"/>
      <c r="C61" s="1"/>
      <c r="D61" s="1"/>
      <c r="E61" s="1"/>
      <c r="F61" s="1"/>
      <c r="G61" s="37"/>
      <c r="H61" s="1"/>
      <c r="I61" s="1"/>
    </row>
    <row r="62" spans="1:9" x14ac:dyDescent="0.25">
      <c r="A62" s="1"/>
      <c r="B62" s="1"/>
      <c r="C62" s="1"/>
      <c r="D62" s="1"/>
      <c r="E62" s="1"/>
      <c r="F62" s="1"/>
      <c r="G62" s="37"/>
      <c r="H62" s="1"/>
      <c r="I62" s="1"/>
    </row>
    <row r="63" spans="1:9" x14ac:dyDescent="0.25">
      <c r="A63" s="1"/>
      <c r="B63" s="1"/>
      <c r="C63" s="1"/>
      <c r="D63" s="1"/>
      <c r="E63" s="1"/>
      <c r="F63" s="1"/>
      <c r="G63" s="37"/>
      <c r="H63" s="1"/>
      <c r="I63" s="1"/>
    </row>
    <row r="64" spans="1:9" x14ac:dyDescent="0.25">
      <c r="A64" s="1"/>
      <c r="B64" s="1"/>
      <c r="C64" s="1"/>
      <c r="D64" s="1"/>
      <c r="E64" s="1"/>
      <c r="F64" s="1"/>
      <c r="G64" s="37"/>
      <c r="H64" s="1"/>
      <c r="I64" s="1"/>
    </row>
    <row r="65" spans="1:9" x14ac:dyDescent="0.25">
      <c r="A65" s="1"/>
      <c r="B65" s="1"/>
      <c r="C65" s="1"/>
      <c r="D65" s="1"/>
      <c r="E65" s="1"/>
      <c r="F65" s="1"/>
      <c r="G65" s="37"/>
      <c r="H65" s="1"/>
      <c r="I65" s="1"/>
    </row>
  </sheetData>
  <sheetProtection algorithmName="SHA-512" hashValue="VxJahq3D6sJINn/2pk204De7lqWYZjnN1+CQZMIcPtklMx97OWgqxKc9gIhLe/OcCrbfYQhluxnuR1cWapNa5A==" saltValue="gvCbUdt/y49uwlCSD7B/HQ=="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4.7109375" style="2" customWidth="1"/>
    <col min="2" max="5" width="9" style="2"/>
    <col min="6" max="6" width="25.42578125" style="2" customWidth="1"/>
    <col min="7" max="7" width="10.28515625" style="2" customWidth="1"/>
    <col min="8" max="8" width="2.85546875" style="2" bestFit="1" customWidth="1"/>
    <col min="9" max="9" width="4.7109375" style="2" customWidth="1"/>
    <col min="10" max="16384" width="9" style="2"/>
  </cols>
  <sheetData>
    <row r="1" spans="1:9" x14ac:dyDescent="0.25">
      <c r="A1" s="1"/>
      <c r="B1" s="129" t="s">
        <v>99</v>
      </c>
      <c r="C1" s="130"/>
      <c r="D1" s="130"/>
      <c r="E1" s="130"/>
      <c r="F1" s="130"/>
      <c r="G1" s="130"/>
      <c r="H1" s="130"/>
      <c r="I1" s="1"/>
    </row>
    <row r="2" spans="1:9" ht="19.899999999999999"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5" t="s">
        <v>53</v>
      </c>
      <c r="C4" s="116"/>
      <c r="D4" s="116"/>
      <c r="E4" s="116"/>
      <c r="F4" s="116"/>
      <c r="G4" s="116"/>
      <c r="H4" s="117"/>
      <c r="I4" s="1"/>
    </row>
    <row r="5" spans="1:9" x14ac:dyDescent="0.25">
      <c r="A5" s="1"/>
      <c r="B5" s="122" t="s">
        <v>56</v>
      </c>
      <c r="C5" s="123"/>
      <c r="D5" s="123"/>
      <c r="E5" s="123"/>
      <c r="F5" s="124"/>
      <c r="G5" s="53">
        <v>12341111</v>
      </c>
      <c r="H5" s="14" t="s">
        <v>3</v>
      </c>
      <c r="I5" s="1"/>
    </row>
    <row r="6" spans="1:9" x14ac:dyDescent="0.25">
      <c r="A6" s="1"/>
      <c r="B6" s="122" t="s">
        <v>54</v>
      </c>
      <c r="C6" s="123"/>
      <c r="D6" s="123"/>
      <c r="E6" s="123"/>
      <c r="F6" s="124"/>
      <c r="G6" s="53">
        <f>G5*'Fane 13. Nøgletal'!C20</f>
        <v>112304.11010000001</v>
      </c>
      <c r="H6" s="14" t="s">
        <v>3</v>
      </c>
      <c r="I6" s="1"/>
    </row>
    <row r="7" spans="1:9" x14ac:dyDescent="0.25">
      <c r="A7" s="1"/>
      <c r="B7" s="67"/>
      <c r="C7" s="68"/>
      <c r="D7" s="68"/>
      <c r="E7" s="68"/>
      <c r="F7" s="68"/>
      <c r="G7" s="56"/>
      <c r="H7" s="19"/>
      <c r="I7" s="1"/>
    </row>
    <row r="8" spans="1:9" x14ac:dyDescent="0.25">
      <c r="A8" s="1"/>
      <c r="B8" s="1"/>
      <c r="C8" s="1"/>
      <c r="D8" s="1"/>
      <c r="E8" s="1"/>
      <c r="F8" s="1"/>
      <c r="G8" s="57"/>
      <c r="H8" s="1"/>
      <c r="I8" s="1"/>
    </row>
    <row r="9" spans="1:9" x14ac:dyDescent="0.25">
      <c r="A9" s="1"/>
      <c r="B9" s="115" t="s">
        <v>57</v>
      </c>
      <c r="C9" s="116"/>
      <c r="D9" s="116"/>
      <c r="E9" s="116"/>
      <c r="F9" s="116"/>
      <c r="G9" s="128"/>
      <c r="H9" s="117"/>
      <c r="I9" s="1"/>
    </row>
    <row r="10" spans="1:9" x14ac:dyDescent="0.25">
      <c r="A10" s="1"/>
      <c r="B10" s="122" t="s">
        <v>58</v>
      </c>
      <c r="C10" s="123"/>
      <c r="D10" s="123"/>
      <c r="E10" s="123"/>
      <c r="F10" s="124"/>
      <c r="G10" s="53">
        <f>(G5-G6)*(1+'Fane 13. Nøgletal'!C9)</f>
        <v>12384112.737401729</v>
      </c>
      <c r="H10" s="14" t="s">
        <v>3</v>
      </c>
      <c r="I10" s="1"/>
    </row>
    <row r="11" spans="1:9" x14ac:dyDescent="0.25">
      <c r="A11" s="1"/>
      <c r="B11" s="125" t="s">
        <v>59</v>
      </c>
      <c r="C11" s="126"/>
      <c r="D11" s="126"/>
      <c r="E11" s="126"/>
      <c r="F11" s="127"/>
      <c r="G11" s="58">
        <v>0</v>
      </c>
      <c r="H11" s="14" t="s">
        <v>3</v>
      </c>
      <c r="I11" s="1"/>
    </row>
    <row r="12" spans="1:9" x14ac:dyDescent="0.25">
      <c r="A12" s="1"/>
      <c r="B12" s="122" t="s">
        <v>60</v>
      </c>
      <c r="C12" s="123"/>
      <c r="D12" s="123"/>
      <c r="E12" s="123"/>
      <c r="F12" s="124"/>
      <c r="G12" s="53">
        <f>G10*'Fane 13. Nøgletal'!C20+G11*'Fane 13. Nøgletal'!C21</f>
        <v>112695.42591035574</v>
      </c>
      <c r="H12" s="14" t="s">
        <v>3</v>
      </c>
      <c r="I12" s="1"/>
    </row>
    <row r="13" spans="1:9" x14ac:dyDescent="0.25">
      <c r="A13" s="1"/>
      <c r="B13" s="67"/>
      <c r="C13" s="68"/>
      <c r="D13" s="68"/>
      <c r="E13" s="68"/>
      <c r="F13" s="68"/>
      <c r="G13" s="56"/>
      <c r="H13" s="19"/>
      <c r="I13" s="1"/>
    </row>
    <row r="14" spans="1:9" x14ac:dyDescent="0.25">
      <c r="A14" s="1"/>
      <c r="B14" s="1"/>
      <c r="C14" s="1"/>
      <c r="D14" s="1"/>
      <c r="E14" s="1"/>
      <c r="F14" s="1"/>
      <c r="G14" s="57"/>
      <c r="H14" s="1"/>
      <c r="I14" s="1"/>
    </row>
    <row r="15" spans="1:9" x14ac:dyDescent="0.25">
      <c r="A15" s="1"/>
      <c r="B15" s="115" t="s">
        <v>61</v>
      </c>
      <c r="C15" s="116"/>
      <c r="D15" s="116"/>
      <c r="E15" s="116"/>
      <c r="F15" s="116"/>
      <c r="G15" s="128"/>
      <c r="H15" s="117"/>
      <c r="I15" s="1"/>
    </row>
    <row r="16" spans="1:9" x14ac:dyDescent="0.25">
      <c r="A16" s="1"/>
      <c r="B16" s="122" t="s">
        <v>62</v>
      </c>
      <c r="C16" s="123"/>
      <c r="D16" s="123"/>
      <c r="E16" s="123"/>
      <c r="F16" s="124"/>
      <c r="G16" s="53">
        <f>(G10+G11-G12)*(1+'Fane 13. Nøgletal'!C11)</f>
        <v>12478804.264055576</v>
      </c>
      <c r="H16" s="14" t="s">
        <v>3</v>
      </c>
      <c r="I16" s="1"/>
    </row>
    <row r="17" spans="1:9" x14ac:dyDescent="0.25">
      <c r="A17" s="1"/>
      <c r="B17" s="122" t="s">
        <v>109</v>
      </c>
      <c r="C17" s="123"/>
      <c r="D17" s="123"/>
      <c r="E17" s="123"/>
      <c r="F17" s="124"/>
      <c r="G17" s="53">
        <v>256362.2324270159</v>
      </c>
      <c r="H17" s="14" t="s">
        <v>3</v>
      </c>
      <c r="I17" s="1"/>
    </row>
    <row r="18" spans="1:9" x14ac:dyDescent="0.25">
      <c r="A18" s="1"/>
      <c r="B18" s="125" t="s">
        <v>63</v>
      </c>
      <c r="C18" s="126"/>
      <c r="D18" s="126"/>
      <c r="E18" s="126"/>
      <c r="F18" s="127"/>
      <c r="G18" s="53">
        <v>703282.91445135348</v>
      </c>
      <c r="H18" s="14" t="s">
        <v>3</v>
      </c>
      <c r="I18" s="1"/>
    </row>
    <row r="19" spans="1:9" x14ac:dyDescent="0.25">
      <c r="A19" s="1"/>
      <c r="B19" s="122" t="s">
        <v>64</v>
      </c>
      <c r="C19" s="123"/>
      <c r="D19" s="123"/>
      <c r="E19" s="123"/>
      <c r="F19" s="124"/>
      <c r="G19" s="53">
        <f>(G16+G17+G18)*'Fane 13. Nøgletal'!C22</f>
        <v>116914.50987512531</v>
      </c>
      <c r="H19" s="14" t="s">
        <v>3</v>
      </c>
      <c r="I19" s="1"/>
    </row>
    <row r="20" spans="1:9" x14ac:dyDescent="0.25">
      <c r="A20" s="1"/>
      <c r="B20" s="67"/>
      <c r="C20" s="68"/>
      <c r="D20" s="68"/>
      <c r="E20" s="68"/>
      <c r="F20" s="68"/>
      <c r="G20" s="56"/>
      <c r="H20" s="19"/>
      <c r="I20" s="1"/>
    </row>
    <row r="21" spans="1:9" x14ac:dyDescent="0.25">
      <c r="A21" s="1"/>
      <c r="B21" s="1"/>
      <c r="C21" s="1"/>
      <c r="D21" s="1"/>
      <c r="E21" s="1"/>
      <c r="F21" s="1"/>
      <c r="G21" s="57"/>
      <c r="H21" s="1"/>
      <c r="I21" s="1"/>
    </row>
    <row r="22" spans="1:9" x14ac:dyDescent="0.25">
      <c r="A22" s="1"/>
      <c r="B22" s="115" t="s">
        <v>65</v>
      </c>
      <c r="C22" s="116"/>
      <c r="D22" s="116"/>
      <c r="E22" s="116"/>
      <c r="F22" s="116"/>
      <c r="G22" s="128"/>
      <c r="H22" s="117"/>
      <c r="I22" s="1"/>
    </row>
    <row r="23" spans="1:9" x14ac:dyDescent="0.25">
      <c r="A23" s="1"/>
      <c r="B23" s="122" t="s">
        <v>66</v>
      </c>
      <c r="C23" s="123"/>
      <c r="D23" s="123"/>
      <c r="E23" s="123"/>
      <c r="F23" s="124"/>
      <c r="G23" s="53">
        <f>(SUM(G16:G18)-G19)*(1+'Fane 13. Nøgletal'!C11)</f>
        <v>13546668.840886712</v>
      </c>
      <c r="H23" s="14" t="s">
        <v>3</v>
      </c>
      <c r="I23" s="1"/>
    </row>
    <row r="24" spans="1:9" x14ac:dyDescent="0.25">
      <c r="A24" s="1"/>
      <c r="B24" s="125" t="s">
        <v>67</v>
      </c>
      <c r="C24" s="126"/>
      <c r="D24" s="126"/>
      <c r="E24" s="126"/>
      <c r="F24" s="127"/>
      <c r="G24" s="53">
        <v>603819.98699719226</v>
      </c>
      <c r="H24" s="14" t="s">
        <v>3</v>
      </c>
      <c r="I24" s="1"/>
    </row>
    <row r="25" spans="1:9" x14ac:dyDescent="0.25">
      <c r="A25" s="1"/>
      <c r="B25" s="122" t="s">
        <v>68</v>
      </c>
      <c r="C25" s="123"/>
      <c r="D25" s="123"/>
      <c r="E25" s="123"/>
      <c r="F25" s="124"/>
      <c r="G25" s="53">
        <f>G23*'Fane 13. Nøgletal'!C22+G24*'Fane 13. Nøgletal'!C23</f>
        <v>135004.50654643466</v>
      </c>
      <c r="H25" s="14" t="s">
        <v>3</v>
      </c>
      <c r="I25" s="1"/>
    </row>
    <row r="26" spans="1:9" x14ac:dyDescent="0.25">
      <c r="A26" s="1"/>
      <c r="B26" s="67"/>
      <c r="C26" s="68"/>
      <c r="D26" s="68"/>
      <c r="E26" s="68"/>
      <c r="F26" s="68"/>
      <c r="G26" s="56"/>
      <c r="H26" s="19"/>
      <c r="I26" s="1"/>
    </row>
    <row r="27" spans="1:9" x14ac:dyDescent="0.25">
      <c r="A27" s="1"/>
      <c r="B27" s="1"/>
      <c r="C27" s="1"/>
      <c r="D27" s="1"/>
      <c r="E27" s="1"/>
      <c r="F27" s="1"/>
      <c r="G27" s="57"/>
      <c r="H27" s="1"/>
      <c r="I27" s="1"/>
    </row>
    <row r="28" spans="1:9" x14ac:dyDescent="0.25">
      <c r="A28" s="1"/>
      <c r="B28" s="115" t="s">
        <v>130</v>
      </c>
      <c r="C28" s="116"/>
      <c r="D28" s="116"/>
      <c r="E28" s="116"/>
      <c r="F28" s="116"/>
      <c r="G28" s="128"/>
      <c r="H28" s="117"/>
      <c r="I28" s="1"/>
    </row>
    <row r="29" spans="1:9" x14ac:dyDescent="0.25">
      <c r="A29" s="1"/>
      <c r="B29" s="122" t="s">
        <v>69</v>
      </c>
      <c r="C29" s="123"/>
      <c r="D29" s="123"/>
      <c r="E29" s="123"/>
      <c r="F29" s="124"/>
      <c r="G29" s="53">
        <f>(G23+G24-G25)*(1+'Fane 13. Nøgletal'!C13)</f>
        <v>14186473.230057787</v>
      </c>
      <c r="H29" s="14" t="s">
        <v>3</v>
      </c>
      <c r="I29" s="1"/>
    </row>
    <row r="30" spans="1:9" x14ac:dyDescent="0.25">
      <c r="A30" s="1"/>
      <c r="B30" s="122" t="s">
        <v>123</v>
      </c>
      <c r="C30" s="123"/>
      <c r="D30" s="123"/>
      <c r="E30" s="123"/>
      <c r="F30" s="124"/>
      <c r="G30" s="53">
        <v>255155.69221127999</v>
      </c>
      <c r="H30" s="14" t="s">
        <v>3</v>
      </c>
      <c r="I30" s="1"/>
    </row>
    <row r="31" spans="1:9" x14ac:dyDescent="0.25">
      <c r="A31" s="1"/>
      <c r="B31" s="122" t="s">
        <v>131</v>
      </c>
      <c r="C31" s="123"/>
      <c r="D31" s="123"/>
      <c r="E31" s="123"/>
      <c r="F31" s="124"/>
      <c r="G31" s="53">
        <f>(G29+G30)*'Fane 13. Nøgletal'!C24</f>
        <v>397144.79536239937</v>
      </c>
      <c r="H31" s="14" t="s">
        <v>3</v>
      </c>
      <c r="I31" s="1"/>
    </row>
    <row r="32" spans="1:9" x14ac:dyDescent="0.25">
      <c r="A32" s="1"/>
      <c r="B32" s="67"/>
      <c r="C32" s="68"/>
      <c r="D32" s="68"/>
      <c r="E32" s="68"/>
      <c r="F32" s="68"/>
      <c r="G32" s="56"/>
      <c r="H32" s="19"/>
      <c r="I32" s="1"/>
    </row>
    <row r="33" spans="1:9" x14ac:dyDescent="0.25">
      <c r="A33" s="1"/>
      <c r="B33" s="1"/>
      <c r="C33" s="1"/>
      <c r="D33" s="1"/>
      <c r="E33" s="1"/>
      <c r="F33" s="1"/>
      <c r="G33" s="57"/>
      <c r="H33" s="1"/>
      <c r="I33" s="1"/>
    </row>
    <row r="34" spans="1:9" x14ac:dyDescent="0.25">
      <c r="A34" s="1"/>
      <c r="B34" s="115" t="s">
        <v>135</v>
      </c>
      <c r="C34" s="116"/>
      <c r="D34" s="116"/>
      <c r="E34" s="116"/>
      <c r="F34" s="116"/>
      <c r="G34" s="128"/>
      <c r="H34" s="117"/>
      <c r="I34" s="1"/>
    </row>
    <row r="35" spans="1:9" x14ac:dyDescent="0.25">
      <c r="A35" s="1"/>
      <c r="B35" s="122" t="s">
        <v>72</v>
      </c>
      <c r="C35" s="123"/>
      <c r="D35" s="123"/>
      <c r="E35" s="123"/>
      <c r="F35" s="124"/>
      <c r="G35" s="53">
        <f>(G29+G30-G31)*(1+'Fane 13. Nøgletal'!C13)</f>
        <v>14215826.833254928</v>
      </c>
      <c r="H35" s="14" t="s">
        <v>3</v>
      </c>
      <c r="I35" s="1"/>
    </row>
    <row r="36" spans="1:9" x14ac:dyDescent="0.25">
      <c r="A36" s="1"/>
      <c r="B36" s="122" t="s">
        <v>141</v>
      </c>
      <c r="C36" s="123"/>
      <c r="D36" s="123"/>
      <c r="E36" s="123"/>
      <c r="F36" s="124"/>
      <c r="G36" s="53">
        <f>SUM('Fane 3. Omkostninger i ØR2022'!E11)*(1+'Fane 13. Nøgletal'!C14)</f>
        <v>3299922.1501425002</v>
      </c>
      <c r="H36" s="14" t="s">
        <v>3</v>
      </c>
      <c r="I36" s="1"/>
    </row>
    <row r="37" spans="1:9" x14ac:dyDescent="0.25">
      <c r="A37" s="1"/>
      <c r="B37" s="122" t="s">
        <v>136</v>
      </c>
      <c r="C37" s="123"/>
      <c r="D37" s="123"/>
      <c r="E37" s="123"/>
      <c r="F37" s="124"/>
      <c r="G37" s="53">
        <f>G35*'Fane 13. Nøgletal'!C24+G36*'Fane 13. Nøgletal'!C25</f>
        <v>439774.08573661954</v>
      </c>
      <c r="H37" s="14" t="s">
        <v>3</v>
      </c>
      <c r="I37" s="1"/>
    </row>
    <row r="38" spans="1:9" x14ac:dyDescent="0.25">
      <c r="A38" s="1"/>
      <c r="B38" s="67"/>
      <c r="C38" s="68"/>
      <c r="D38" s="68"/>
      <c r="E38" s="68"/>
      <c r="F38" s="68"/>
      <c r="G38" s="56"/>
      <c r="H38" s="19"/>
      <c r="I38" s="1"/>
    </row>
    <row r="39" spans="1:9" x14ac:dyDescent="0.25">
      <c r="A39" s="1"/>
      <c r="B39" s="1"/>
      <c r="C39" s="1"/>
      <c r="D39" s="1"/>
      <c r="E39" s="1"/>
      <c r="F39" s="1"/>
      <c r="G39" s="57"/>
      <c r="H39" s="1"/>
      <c r="I39" s="1"/>
    </row>
    <row r="40" spans="1:9" x14ac:dyDescent="0.25">
      <c r="A40" s="1"/>
      <c r="B40" s="115" t="s">
        <v>200</v>
      </c>
      <c r="C40" s="116"/>
      <c r="D40" s="116"/>
      <c r="E40" s="116"/>
      <c r="F40" s="116"/>
      <c r="G40" s="128"/>
      <c r="H40" s="117"/>
      <c r="I40" s="1"/>
    </row>
    <row r="41" spans="1:9" x14ac:dyDescent="0.25">
      <c r="A41" s="1"/>
      <c r="B41" s="122" t="s">
        <v>71</v>
      </c>
      <c r="C41" s="123"/>
      <c r="D41" s="123"/>
      <c r="E41" s="123"/>
      <c r="F41" s="124"/>
      <c r="G41" s="53">
        <f>(G35+G36-G37)*(1+'Fane 13. Nøgletal'!C15)</f>
        <v>17683879.604017533</v>
      </c>
      <c r="H41" s="14" t="s">
        <v>3</v>
      </c>
      <c r="I41" s="1"/>
    </row>
    <row r="42" spans="1:9" x14ac:dyDescent="0.25">
      <c r="A42" s="1"/>
      <c r="B42" s="122" t="s">
        <v>211</v>
      </c>
      <c r="C42" s="123"/>
      <c r="D42" s="123"/>
      <c r="E42" s="123"/>
      <c r="F42" s="124"/>
      <c r="G42" s="58">
        <f>SUM('Fane 2.1. Økonomisk ramme 2023'!C10+'Fane 2.1. Økonomisk ramme 2023'!C12+'Fane 2.1. Økonomisk ramme 2023'!C14)*(1+'Fane 13. Nøgletal'!C15)</f>
        <v>11456283.066812051</v>
      </c>
      <c r="H42" s="14" t="s">
        <v>3</v>
      </c>
      <c r="I42" s="1"/>
    </row>
    <row r="43" spans="1:9" x14ac:dyDescent="0.25">
      <c r="A43" s="1"/>
      <c r="B43" s="122" t="s">
        <v>70</v>
      </c>
      <c r="C43" s="123"/>
      <c r="D43" s="123"/>
      <c r="E43" s="123"/>
      <c r="F43" s="124"/>
      <c r="G43" s="53">
        <f>(G41+G42)*'Fane 13. Nøgletal'!C26</f>
        <v>0</v>
      </c>
      <c r="H43" s="14" t="s">
        <v>3</v>
      </c>
      <c r="I43" s="1"/>
    </row>
    <row r="44" spans="1:9" x14ac:dyDescent="0.25">
      <c r="A44" s="1"/>
      <c r="B44" s="67"/>
      <c r="C44" s="68"/>
      <c r="D44" s="68"/>
      <c r="E44" s="68"/>
      <c r="F44" s="68"/>
      <c r="G44" s="56"/>
      <c r="H44" s="19"/>
      <c r="I44" s="1"/>
    </row>
    <row r="45" spans="1:9" ht="12" customHeight="1" x14ac:dyDescent="0.25">
      <c r="A45" s="1"/>
      <c r="B45" s="1"/>
      <c r="C45" s="1"/>
      <c r="D45" s="1"/>
      <c r="E45" s="1"/>
      <c r="F45" s="1"/>
      <c r="G45" s="57"/>
      <c r="H45" s="1"/>
      <c r="I45" s="1"/>
    </row>
    <row r="46" spans="1:9" x14ac:dyDescent="0.25">
      <c r="A46" s="1"/>
      <c r="B46" s="115" t="s">
        <v>201</v>
      </c>
      <c r="C46" s="116"/>
      <c r="D46" s="116"/>
      <c r="E46" s="116"/>
      <c r="F46" s="116"/>
      <c r="G46" s="128"/>
      <c r="H46" s="117"/>
      <c r="I46" s="1"/>
    </row>
    <row r="47" spans="1:9" x14ac:dyDescent="0.25">
      <c r="A47" s="1"/>
      <c r="B47" s="122" t="s">
        <v>124</v>
      </c>
      <c r="C47" s="123"/>
      <c r="D47" s="123"/>
      <c r="E47" s="123"/>
      <c r="F47" s="124"/>
      <c r="G47" s="53">
        <f>(G41+G42-G43)*(1+'Fane 13. Nøgletal'!C15)</f>
        <v>30177552.461911123</v>
      </c>
      <c r="H47" s="14" t="s">
        <v>3</v>
      </c>
      <c r="I47" s="1"/>
    </row>
    <row r="48" spans="1:9" x14ac:dyDescent="0.25">
      <c r="A48" s="1"/>
      <c r="B48" s="122" t="s">
        <v>125</v>
      </c>
      <c r="C48" s="123"/>
      <c r="D48" s="123"/>
      <c r="E48" s="123"/>
      <c r="F48" s="124"/>
      <c r="G48" s="53">
        <f>(G47)*'Fane 13. Nøgletal'!C26</f>
        <v>0</v>
      </c>
      <c r="H48" s="14" t="s">
        <v>3</v>
      </c>
      <c r="I48" s="1"/>
    </row>
    <row r="49" spans="1:9" x14ac:dyDescent="0.25">
      <c r="A49" s="1"/>
      <c r="B49" s="67"/>
      <c r="C49" s="68"/>
      <c r="D49" s="68"/>
      <c r="E49" s="68"/>
      <c r="F49" s="68"/>
      <c r="G49" s="56"/>
      <c r="H49" s="19"/>
      <c r="I49" s="1"/>
    </row>
    <row r="50" spans="1:9" x14ac:dyDescent="0.25">
      <c r="A50" s="1"/>
      <c r="B50" s="1"/>
      <c r="C50" s="1"/>
      <c r="D50" s="1"/>
      <c r="E50" s="1"/>
      <c r="F50" s="1"/>
      <c r="G50" s="57"/>
      <c r="H50" s="1"/>
      <c r="I50" s="1"/>
    </row>
    <row r="51" spans="1:9" x14ac:dyDescent="0.25">
      <c r="A51" s="1"/>
      <c r="B51" s="115" t="s">
        <v>142</v>
      </c>
      <c r="C51" s="116"/>
      <c r="D51" s="116"/>
      <c r="E51" s="116"/>
      <c r="F51" s="116"/>
      <c r="G51" s="128"/>
      <c r="H51" s="117"/>
      <c r="I51" s="1"/>
    </row>
    <row r="52" spans="1:9" x14ac:dyDescent="0.25">
      <c r="A52" s="1"/>
      <c r="B52" s="122" t="s">
        <v>143</v>
      </c>
      <c r="C52" s="123"/>
      <c r="D52" s="123"/>
      <c r="E52" s="123"/>
      <c r="F52" s="124"/>
      <c r="G52" s="53">
        <f>(G47-G48)*(1+'Fane 13. Nøgletal'!C15)</f>
        <v>31251873.329555161</v>
      </c>
      <c r="H52" s="14" t="s">
        <v>3</v>
      </c>
      <c r="I52" s="1"/>
    </row>
    <row r="53" spans="1:9" x14ac:dyDescent="0.25">
      <c r="A53" s="1"/>
      <c r="B53" s="122" t="s">
        <v>144</v>
      </c>
      <c r="C53" s="123"/>
      <c r="D53" s="123"/>
      <c r="E53" s="123"/>
      <c r="F53" s="124"/>
      <c r="G53" s="53">
        <f>(G52)*'Fane 13. Nøgletal'!C26</f>
        <v>0</v>
      </c>
      <c r="H53" s="14" t="s">
        <v>3</v>
      </c>
      <c r="I53" s="1"/>
    </row>
    <row r="54" spans="1:9" x14ac:dyDescent="0.25">
      <c r="A54" s="1"/>
      <c r="B54" s="67"/>
      <c r="C54" s="68"/>
      <c r="D54" s="68"/>
      <c r="E54" s="68"/>
      <c r="F54" s="68"/>
      <c r="G54" s="56"/>
      <c r="H54" s="19"/>
      <c r="I54" s="1"/>
    </row>
    <row r="55" spans="1:9" x14ac:dyDescent="0.25">
      <c r="A55" s="1"/>
      <c r="B55" s="1"/>
      <c r="C55" s="1"/>
      <c r="D55" s="1"/>
      <c r="E55" s="1"/>
      <c r="F55" s="1"/>
      <c r="G55" s="57"/>
      <c r="H55" s="1"/>
      <c r="I55" s="1"/>
    </row>
    <row r="56" spans="1:9" x14ac:dyDescent="0.25">
      <c r="A56" s="1"/>
      <c r="B56" s="115" t="s">
        <v>177</v>
      </c>
      <c r="C56" s="116"/>
      <c r="D56" s="116"/>
      <c r="E56" s="116"/>
      <c r="F56" s="116"/>
      <c r="G56" s="128"/>
      <c r="H56" s="117"/>
      <c r="I56" s="1"/>
    </row>
    <row r="57" spans="1:9" x14ac:dyDescent="0.25">
      <c r="A57" s="1"/>
      <c r="B57" s="122" t="s">
        <v>178</v>
      </c>
      <c r="C57" s="123"/>
      <c r="D57" s="123"/>
      <c r="E57" s="123"/>
      <c r="F57" s="124"/>
      <c r="G57" s="53">
        <f>(G52-G53)*(1+'Fane 13. Nøgletal'!C15)</f>
        <v>32364440.020087328</v>
      </c>
      <c r="H57" s="14" t="s">
        <v>3</v>
      </c>
      <c r="I57" s="1"/>
    </row>
    <row r="58" spans="1:9" x14ac:dyDescent="0.25">
      <c r="A58" s="1"/>
      <c r="B58" s="122" t="s">
        <v>179</v>
      </c>
      <c r="C58" s="123"/>
      <c r="D58" s="123"/>
      <c r="E58" s="123"/>
      <c r="F58" s="124"/>
      <c r="G58" s="53">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YY3D6moUX6qfgA7aaHVDhhKNBYhyndyJN1rT4sNlZLbVcZTDlFUPjyq4iWpCBZdOhIST2de8BBjFJPTeI8nKPA==" saltValue="A+yzwgNw6zjHUFpSXWL6G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6" t="s">
        <v>82</v>
      </c>
      <c r="C3" s="96"/>
      <c r="D3" s="96"/>
      <c r="E3" s="96"/>
      <c r="F3" s="96"/>
      <c r="G3" s="96"/>
      <c r="H3" s="1"/>
    </row>
    <row r="4" spans="1:8" ht="15" customHeight="1" x14ac:dyDescent="0.25">
      <c r="A4" s="1"/>
      <c r="B4" s="96"/>
      <c r="C4" s="96"/>
      <c r="D4" s="96"/>
      <c r="E4" s="96"/>
      <c r="F4" s="96"/>
      <c r="G4" s="9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5" t="s">
        <v>9</v>
      </c>
      <c r="C8" s="116"/>
      <c r="D8" s="116"/>
      <c r="E8" s="116"/>
      <c r="F8" s="116"/>
      <c r="G8" s="116"/>
      <c r="H8" s="1"/>
    </row>
    <row r="9" spans="1:8" x14ac:dyDescent="0.25">
      <c r="A9" s="1"/>
      <c r="B9" s="72" t="s">
        <v>180</v>
      </c>
      <c r="C9" s="73"/>
      <c r="D9" s="73"/>
      <c r="E9" s="73"/>
      <c r="F9" s="74"/>
      <c r="G9" s="28">
        <v>0.02</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2" t="s">
        <v>202</v>
      </c>
      <c r="C12" s="132"/>
      <c r="D12" s="132"/>
      <c r="E12" s="132"/>
      <c r="F12" s="132"/>
      <c r="G12" s="132"/>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lwJsV5DOxlrxj6YnWv2K0E2z358kyZ9BLFU3fsdlFCP3jInaOqBOyV+hFjD0w6dNIBpWUkZ6GydqYrZOqcMqfQ==" saltValue="/sMM2WnXE3A3mCRC7AalP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2022-12-01T09:08:42Z</dcterms:modified>
</cp:coreProperties>
</file>