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Vandcenter Syd AS (S099)\ØR2024\"/>
    </mc:Choice>
  </mc:AlternateContent>
  <xr:revisionPtr revIDLastSave="0" documentId="13_ncr:1_{D22CD6B4-08A5-4B7A-8BBE-463452687012}"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1" iterateCount="1"/>
</workbook>
</file>

<file path=xl/calcChain.xml><?xml version="1.0" encoding="utf-8"?>
<calcChain xmlns="http://schemas.openxmlformats.org/spreadsheetml/2006/main">
  <c r="G70" i="36" l="1"/>
  <c r="G65" i="36"/>
  <c r="G60" i="36"/>
  <c r="G55" i="36"/>
  <c r="C29" i="2"/>
  <c r="C27" i="2"/>
  <c r="C28" i="2" l="1"/>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46" i="37" s="1"/>
  <c r="C47" i="37" s="1"/>
  <c r="C10" i="2" l="1"/>
  <c r="G35" i="36"/>
  <c r="G53" i="30" l="1"/>
  <c r="G37" i="36"/>
  <c r="G41" i="36" l="1"/>
  <c r="G27" i="30"/>
  <c r="G43" i="36" l="1"/>
  <c r="G31" i="30"/>
  <c r="E10" i="37"/>
  <c r="E46" i="37" s="1"/>
  <c r="E47"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<sst xmlns="http://schemas.openxmlformats.org/spreadsheetml/2006/main" count="741" uniqueCount="323">
  <si>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</si>
  <si>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</si>
  <si>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</si>
  <si>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</si>
  <si>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</si>
  <si>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</si>
  <si>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</si>
  <si>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</si>
  <si>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</si>
  <si>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</si>
  <si>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</si>
  <si>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</si>
  <si>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</si>
  <si>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</si>
  <si>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</si>
  <si>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</si>
  <si>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</si>
  <si>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</si>
  <si>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</si>
  <si>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</si>
  <si>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</si>
  <si>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</si>
  <si>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</si>
  <si>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</si>
  <si>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</si>
  <si>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</si>
  <si>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</si>
  <si>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</si>
  <si>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</si>
  <si>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</si>
  <si>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</si>
  <si>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</si>
  <si>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</si>
  <si>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</si>
  <si>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</si>
  <si>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</si>
  <si>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</si>
  <si>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</si>
  <si>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</si>
  <si>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</si>
  <si>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</si>
  <si>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</si>
  <si>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</si>
  <si>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</si>
  <si>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</si>
  <si>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</si>
  <si>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</si>
  <si>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</si>
  <si>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</si>
  <si>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</si>
  <si>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</si>
  <si>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</si>
  <si>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</si>
  <si>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</si>
  <si>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</si>
  <si>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</si>
  <si>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</si>
  <si>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</si>
  <si>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</si>
  <si>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</si>
  <si>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</si>
  <si>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</si>
  <si>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</si>
  <si>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</si>
  <si>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</si>
  <si>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</si>
  <si>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</si>
  <si>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</si>
  <si>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</si>
  <si>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</si>
  <si>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</si>
  <si>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</si>
  <si>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</si>
  <si>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</si>
  <si>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</si>
  <si>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</si>
  <si>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</si>
  <si>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</si>
  <si>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</si>
  <si>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</si>
  <si>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</si>
  <si>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</si>
  <si>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</si>
  <si>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</si>
  <si>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</si>
  <si>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</si>
  <si>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</si>
  <si>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</si>
  <si>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</si>
  <si>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</si>
  <si>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</si>
  <si>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</si>
  <si>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</si>
  <si>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</si>
  <si>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</si>
  <si>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</si>
  <si>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</si>
  <si>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</si>
  <si>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</si>
  <si>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</si>
  <si>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</si>
  <si>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</si>
  <si>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</si>
  <si>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</si>
  <si>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</si>
  <si>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</si>
  <si>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</si>
  <si>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</si>
  <si>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</si>
  <si>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</si>
  <si>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</si>
  <si>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</si>
  <si>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</si>
  <si>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</si>
  <si>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</si>
  <si>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</si>
  <si>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</si>
  <si>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</si>
  <si>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</si>
  <si>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</si>
  <si>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</si>
  <si>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</si>
  <si>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</si>
  <si>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</si>
  <si>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</si>
  <si>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</si>
  <si>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</si>
  <si>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</si>
  <si>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</si>
  <si>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</si>
  <si>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</si>
  <si>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</si>
  <si>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</si>
  <si>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</si>
  <si>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</si>
  <si>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</si>
  <si>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</si>
  <si>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</si>
  <si>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</si>
  <si>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</si>
  <si>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</si>
  <si>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</si>
  <si>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</si>
  <si>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</si>
  <si>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</si>
  <si>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</si>
  <si>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</si>
  <si>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</si>
  <si>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</si>
  <si>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</si>
  <si>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</si>
  <si>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</si>
  <si>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</si>
  <si>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</si>
  <si>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</si>
  <si>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</si>
  <si>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</si>
  <si>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</si>
  <si>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</si>
  <si>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</si>
  <si>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</si>
  <si>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</si>
  <si>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</si>
  <si>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</si>
  <si>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</si>
  <si>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</si>
  <si>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</si>
  <si>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</si>
  <si>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</si>
  <si>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</si>
  <si>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</si>
  <si>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</si>
  <si>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</si>
  <si>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</si>
  <si>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</si>
  <si>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</si>
  <si>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</si>
  <si>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</si>
  <si>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</si>
  <si>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</si>
  <si>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</si>
  <si>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</si>
  <si>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</si>
  <si>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</si>
  <si>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</si>
  <si>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</si>
  <si>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</si>
  <si>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</si>
  <si>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</si>
  <si>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</si>
  <si>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</si>
  <si>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</si>
  <si>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</si>
  <si>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</si>
  <si>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</si>
  <si>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</si>
  <si>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</si>
  <si>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</si>
  <si>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</si>
  <si>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</si>
  <si>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</si>
  <si>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</si>
  <si>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</si>
  <si>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</si>
  <si>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</si>
  <si>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</si>
  <si>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</si>
  <si>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</si>
  <si>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</si>
  <si>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</si>
  <si>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</si>
  <si>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</si>
  <si>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</si>
  <si>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</si>
  <si>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</si>
  <si>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</si>
  <si>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</si>
  <si>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</si>
  <si>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</si>
  <si>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</si>
  <si>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</si>
  <si>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</si>
  <si>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</si>
  <si>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</si>
  <si>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</si>
  <si>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</si>
  <si>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</si>
  <si>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</si>
  <si>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</si>
  <si>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</si>
  <si>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</si>
  <si>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</si>
  <si>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</si>
  <si>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</si>
  <si>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</si>
  <si>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</si>
  <si>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</si>
  <si>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</si>
  <si>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</si>
  <si>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</si>
  <si>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</si>
  <si>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</si>
  <si>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</si>
  <si>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</si>
  <si>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</si>
  <si>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</si>
  <si>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</si>
  <si>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</si>
  <si>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</si>
  <si>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</si>
  <si>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</si>
  <si>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</si>
  <si>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</si>
  <si>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</si>
  <si>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</si>
  <si>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</si>
  <si>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</si>
  <si>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</si>
  <si>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</si>
  <si>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</si>
  <si>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</si>
  <si>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</si>
  <si>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</si>
  <si>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</si>
  <si>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</si>
  <si>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</si>
  <si>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</si>
  <si>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</si>
  <si>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</si>
  <si>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</si>
  <si>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</si>
  <si>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</si>
  <si>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</si>
  <si>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</si>
  <si>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</si>
  <si>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Tjenestemandspensioner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</si>
  <si>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</si>
  <si>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</si>
  <si>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</si>
  <si>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</si>
  <si>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</si>
  <si>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</si>
  <si>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</si>
  <si>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</si>
  <si>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</si>
  <si>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</si>
  <si>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</si>
  <si>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</si>
  <si>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Drift af LAR områder</t>
  </si>
  <si>
    <t>P-000707 WEST Integreret model</t>
  </si>
  <si>
    <t>P-000712-009 - SI - TVÆ - Vedligholdelse af modeller 2022</t>
  </si>
  <si>
    <t>SI - Bolbro - INF - Christiansparken &amp; Pulsparken</t>
  </si>
  <si>
    <t>SI - Dalum - INF - Solvej - ledningsarbejder</t>
  </si>
  <si>
    <t>SI - Drejebænken - INF - Etablering af kloakanlæg</t>
  </si>
  <si>
    <t>SI - Indsivning - TVÆ</t>
  </si>
  <si>
    <t>SI - IT - implement og Udvikling af RehabIT-Spildevand 2022</t>
  </si>
  <si>
    <t>SI - Jarlsberggade - INF - Fjordsgade</t>
  </si>
  <si>
    <t>SI - LAR - Rømersvej, Middelfartvej, Bystævnevej</t>
  </si>
  <si>
    <t>SI - Otterup - TVÆ - Regnvandshåndtering Otterup bymidte</t>
  </si>
  <si>
    <t>SI - Pakhuskajen - B&amp;A - Flytning af pumpestation</t>
  </si>
  <si>
    <t>SI - Søndre Hospitalsvej - INF - Afvanding af Park&amp;Ride</t>
  </si>
  <si>
    <t>SI - TV_spul (tilstandsvurdering og projektforberedelse)2022</t>
  </si>
  <si>
    <t>SI - TVÆ - Drift af døgnmodel 2022</t>
  </si>
  <si>
    <t>SI - TVÆ - Drift og vedl_ af WEST-målesta_ i vandløb - 2022</t>
  </si>
  <si>
    <t>SI - TVÆ - DVFI i vandløb i NFK 2022</t>
  </si>
  <si>
    <t>SI - TVÆ - Overvågning og analyse af afløbsmålinger 2022</t>
  </si>
  <si>
    <t>SI - Visualiseringsside 2022</t>
  </si>
  <si>
    <t>SI-Bøgedals Alle LAR separering</t>
  </si>
  <si>
    <t>SI - Byggemodning - Markhaven - INF</t>
  </si>
  <si>
    <t>SI - Byggemodning Bellinge etape 3 Huscompagniet</t>
  </si>
  <si>
    <t>SI - Byggemodning Bellinge Fælled etape 3</t>
  </si>
  <si>
    <t>SI - Cortex Park, etape 2 - INF - Færdiggørelsesprojekt</t>
  </si>
  <si>
    <t>SI - Dalum Papirfabrik Vest - INF - Byggemodning</t>
  </si>
  <si>
    <t>SI - Diverse tilslutningssager 2022</t>
  </si>
  <si>
    <t>SI - kolonihave - EL - stik Enghaven</t>
  </si>
  <si>
    <t>SI - Kolonihaver Od_ - INF - stik, Roerskov og Rosenbækken</t>
  </si>
  <si>
    <t>SI - Markhaven - TVÆ - Ny vandløbsledning</t>
  </si>
  <si>
    <t>SI - Norgesvej - INF - Udstykning</t>
  </si>
  <si>
    <t>SI - Otterup - INF - Boligområde ved Stenløkkevej</t>
  </si>
  <si>
    <t>SI - Stige Vest - INF - Udstykning ved Mosevænget 2022</t>
  </si>
  <si>
    <t>SI - Søndersø - TVÆ - Pilevænget/Nordmarksvej etp 2</t>
  </si>
  <si>
    <t>Ingen engangstillæg</t>
  </si>
  <si>
    <t>Samstyringsprojekt med Odense Kommune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</si>
</sst>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6" fontId="8" fillId="8" borderId="2" xfId="1" quotePrefix="1" applyNumberFormat="1" applyFont="1" applyFill="1" applyBorder="1" applyAlignment="1" applyProtection="1">
      <alignment horizontal="right" wrapText="1"/>
    </xf>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Gs119auGnysyI14VsKu6FuQsoWLwLBSbM+Wto2/FmvPjIgTl9MK5RofcOc4r0cWWNTFweCJGw5/JSu8zAM9b4g==" saltValue="S6t/rfw0ydm75fhXfAvNA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5555141</v>
      </c>
      <c r="D10" s="14" t="s">
        <v>3</v>
      </c>
      <c r="E10" s="1"/>
      <c r="F10" s="1"/>
    </row>
    <row r="11" spans="1:6" ht="15" customHeight="1" x14ac:dyDescent="0.25">
      <c r="A11" s="1"/>
      <c r="B11" s="81" t="s">
        <v>273</v>
      </c>
      <c r="C11" s="9">
        <v>428362</v>
      </c>
      <c r="D11" s="14" t="s">
        <v>3</v>
      </c>
      <c r="E11" s="1"/>
      <c r="F11" s="1"/>
    </row>
    <row r="12" spans="1:6" x14ac:dyDescent="0.25">
      <c r="A12" s="1"/>
      <c r="B12" s="81" t="s">
        <v>274</v>
      </c>
      <c r="C12" s="9">
        <v>1168589</v>
      </c>
      <c r="D12" s="14" t="s">
        <v>3</v>
      </c>
      <c r="E12" s="1"/>
      <c r="F12" s="1"/>
    </row>
    <row r="13" spans="1:6" x14ac:dyDescent="0.25">
      <c r="A13" s="1"/>
      <c r="B13" s="81" t="s">
        <v>275</v>
      </c>
      <c r="C13" s="9">
        <v>426416</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7578508</v>
      </c>
      <c r="D20" s="13" t="s">
        <v>3</v>
      </c>
      <c r="E20" s="1"/>
      <c r="F20" s="1"/>
    </row>
    <row r="21" spans="1:6" x14ac:dyDescent="0.25">
      <c r="A21" s="1"/>
      <c r="B21" s="33" t="s">
        <v>227</v>
      </c>
      <c r="C21" s="12">
        <f>C20*(1+'Fane 15. Nøgletal'!C16)^2</f>
        <v>8852672.2432691194</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mdVCeHA5FQAkxpIthZ8usm+rr4/+yEWZn+6y2LX8VUuulvXrhBnA2wzcmxYoGdhE2rMeW2rM4uqfb5BSwMxt9A==" saltValue="yovx0xGWsUE7r3u/X8SxY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ADE5-235E-4CF4-8203-A4528B4E377E}">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276</v>
      </c>
      <c r="C9" s="121"/>
      <c r="D9" s="122"/>
      <c r="E9" s="9">
        <v>4484790</v>
      </c>
      <c r="F9" s="14" t="s">
        <v>3</v>
      </c>
      <c r="G9" s="1"/>
    </row>
    <row r="10" spans="1:7" ht="15" customHeight="1" x14ac:dyDescent="0.25">
      <c r="A10" s="1"/>
      <c r="B10" s="120" t="s">
        <v>143</v>
      </c>
      <c r="C10" s="121"/>
      <c r="D10" s="122"/>
      <c r="E10" s="9">
        <v>-7292962</v>
      </c>
      <c r="F10" s="14" t="s">
        <v>3</v>
      </c>
      <c r="G10" s="1"/>
    </row>
    <row r="11" spans="1:7" ht="15" customHeight="1" x14ac:dyDescent="0.25">
      <c r="A11" s="1"/>
      <c r="B11" s="120" t="s">
        <v>277</v>
      </c>
      <c r="C11" s="121"/>
      <c r="D11" s="122"/>
      <c r="E11" s="9">
        <v>-910801</v>
      </c>
      <c r="F11" s="14" t="s">
        <v>3</v>
      </c>
      <c r="G11" s="1"/>
    </row>
    <row r="12" spans="1:7" x14ac:dyDescent="0.25">
      <c r="A12" s="1"/>
      <c r="B12" s="33"/>
      <c r="C12" s="28"/>
      <c r="D12" s="28"/>
      <c r="E12" s="28"/>
      <c r="F12" s="19"/>
      <c r="G12" s="1"/>
    </row>
    <row r="13" spans="1:7" ht="42" customHeight="1" x14ac:dyDescent="0.25">
      <c r="A13" s="1"/>
      <c r="B13" s="114" t="s">
        <v>278</v>
      </c>
      <c r="C13" s="115"/>
      <c r="D13" s="115"/>
      <c r="E13" s="115"/>
      <c r="F13" s="116"/>
      <c r="G13" s="1"/>
    </row>
    <row r="14" spans="1:7" ht="15" customHeight="1" x14ac:dyDescent="0.25">
      <c r="A14" s="1"/>
      <c r="B14" s="1"/>
      <c r="C14" s="1"/>
      <c r="D14" s="1"/>
      <c r="E14" s="1"/>
      <c r="F14" s="1"/>
      <c r="G14" s="1"/>
    </row>
    <row r="15" spans="1:7" x14ac:dyDescent="0.25">
      <c r="A15" s="1"/>
      <c r="B15" s="75" t="s">
        <v>279</v>
      </c>
      <c r="C15" s="76"/>
      <c r="D15" s="76"/>
      <c r="E15" s="76"/>
      <c r="F15" s="77"/>
      <c r="G15" s="1"/>
    </row>
    <row r="16" spans="1:7" x14ac:dyDescent="0.25">
      <c r="A16" s="1"/>
      <c r="B16" s="78" t="s">
        <v>280</v>
      </c>
      <c r="C16" s="79"/>
      <c r="D16" s="80"/>
      <c r="E16" s="9">
        <f>IF(E11&lt;0,E11,0)</f>
        <v>-910801</v>
      </c>
      <c r="F16" s="14" t="s">
        <v>3</v>
      </c>
      <c r="G16" s="1"/>
    </row>
    <row r="17" spans="1:7" x14ac:dyDescent="0.25">
      <c r="A17" s="1"/>
      <c r="B17" s="78" t="s">
        <v>281</v>
      </c>
      <c r="C17" s="79"/>
      <c r="D17" s="80"/>
      <c r="E17" s="9">
        <f>IF(SUM(E10)&gt;0,SUM(E10),0)</f>
        <v>0</v>
      </c>
      <c r="F17" s="14" t="s">
        <v>3</v>
      </c>
      <c r="G17" s="1"/>
    </row>
    <row r="18" spans="1:7" x14ac:dyDescent="0.25">
      <c r="A18" s="1"/>
      <c r="B18" s="82" t="s">
        <v>282</v>
      </c>
      <c r="C18" s="83"/>
      <c r="D18" s="84"/>
      <c r="E18" s="62">
        <f>IF(SUM(E16:E17)&gt;0,0,SUM(E16:E17))</f>
        <v>-910801</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283</v>
      </c>
      <c r="C21" s="76"/>
      <c r="D21" s="76"/>
      <c r="E21" s="76"/>
      <c r="F21" s="77"/>
      <c r="G21" s="1"/>
    </row>
    <row r="22" spans="1:7" x14ac:dyDescent="0.25">
      <c r="A22" s="1"/>
      <c r="B22" s="78" t="s">
        <v>284</v>
      </c>
      <c r="C22" s="79"/>
      <c r="D22" s="80"/>
      <c r="E22" s="9">
        <v>352838087</v>
      </c>
      <c r="F22" s="14" t="s">
        <v>3</v>
      </c>
      <c r="G22" s="1"/>
    </row>
    <row r="23" spans="1:7" x14ac:dyDescent="0.25">
      <c r="A23" s="1"/>
      <c r="B23" s="78" t="s">
        <v>285</v>
      </c>
      <c r="C23" s="79"/>
      <c r="D23" s="80"/>
      <c r="E23" s="9">
        <v>349080243</v>
      </c>
      <c r="F23" s="14" t="s">
        <v>3</v>
      </c>
      <c r="G23" s="1"/>
    </row>
    <row r="24" spans="1:7" x14ac:dyDescent="0.25">
      <c r="A24" s="1"/>
      <c r="B24" s="78" t="s">
        <v>30</v>
      </c>
      <c r="C24" s="79"/>
      <c r="D24" s="80"/>
      <c r="E24" s="9">
        <v>0</v>
      </c>
      <c r="F24" s="14" t="s">
        <v>3</v>
      </c>
      <c r="G24" s="1"/>
    </row>
    <row r="25" spans="1:7" x14ac:dyDescent="0.25">
      <c r="A25" s="1"/>
      <c r="B25" s="82" t="s">
        <v>286</v>
      </c>
      <c r="C25" s="83"/>
      <c r="D25" s="84"/>
      <c r="E25" s="62">
        <f>E22-E23-E24</f>
        <v>3757844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287</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-910801</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-455400.5</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Z8gpenpr0G7jsuRLG20LZOb4SMhbcHvRbBVjCJpoth93BHy03ckKgoPS1sz4OkvUmnoeYOXpgBHOTuFhGRxNHA==" saltValue="db0mJ/h+414FfTRO9pd6ag=="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p2j/eRpzmPVFT8opvIKzmVy36zkfn+GC0rR849hmuNP0QvHoga/vwvKJapPm21qwjTVQT8f3Y4d7SAY/KCgIVA==" saltValue="kH5WcfZVzMvzGrSsDXGoE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354000</v>
      </c>
      <c r="F14" s="8" t="s">
        <v>3</v>
      </c>
      <c r="G14" s="1"/>
    </row>
    <row r="15" spans="1:7" x14ac:dyDescent="0.25">
      <c r="A15" s="1"/>
      <c r="B15" s="114" t="s">
        <v>231</v>
      </c>
      <c r="C15" s="115"/>
      <c r="D15" s="116"/>
      <c r="E15" s="7">
        <v>279528</v>
      </c>
      <c r="F15" s="8" t="s">
        <v>3</v>
      </c>
      <c r="G15" s="1"/>
    </row>
    <row r="16" spans="1:7" x14ac:dyDescent="0.25">
      <c r="A16" s="1"/>
      <c r="B16" s="135" t="s">
        <v>83</v>
      </c>
      <c r="C16" s="136"/>
      <c r="D16" s="137"/>
      <c r="E16" s="10">
        <f>E15-E14</f>
        <v>-74472</v>
      </c>
      <c r="F16" s="11" t="s">
        <v>3</v>
      </c>
      <c r="G16" s="1"/>
    </row>
    <row r="17" spans="1:7" x14ac:dyDescent="0.25">
      <c r="A17" s="1"/>
      <c r="B17" s="33" t="s">
        <v>232</v>
      </c>
      <c r="C17" s="28"/>
      <c r="D17" s="28"/>
      <c r="E17" s="12">
        <f>E12+E16</f>
        <v>-74472</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PKA+iINePvFeNhsNqqQGJKMUYPKi0a8OkKBpz8o6QrNQsYKZBs3mumgU9t3FPv2dZooDMXmYCAcvZEWOmRGPQ==" saltValue="V8GULc05A4o62et4t/SRu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NblOba7j6ZNv0q88xzTTsmB7r1HwAuHMCK1F6tBZTYLpCovC2+5WISVvMfmeAP0W/MeQDd/uCX6mPvZupF9auA==" saltValue="lQm9RVJbBJzCP3gYShr31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634358</v>
      </c>
      <c r="D11" s="14" t="s">
        <v>3</v>
      </c>
      <c r="E11" s="9">
        <v>0</v>
      </c>
      <c r="F11" s="14" t="s">
        <v>3</v>
      </c>
      <c r="G11" s="1"/>
    </row>
    <row r="12" spans="1:7" x14ac:dyDescent="0.25">
      <c r="A12" s="1"/>
      <c r="B12" s="24" t="s">
        <v>289</v>
      </c>
      <c r="C12" s="21">
        <v>0</v>
      </c>
      <c r="D12" s="14" t="s">
        <v>3</v>
      </c>
      <c r="E12" s="9">
        <v>249917</v>
      </c>
      <c r="F12" s="14" t="s">
        <v>3</v>
      </c>
      <c r="G12" s="1"/>
    </row>
    <row r="13" spans="1:7" x14ac:dyDescent="0.25">
      <c r="A13" s="1"/>
      <c r="B13" s="24" t="s">
        <v>290</v>
      </c>
      <c r="C13" s="21">
        <v>0</v>
      </c>
      <c r="D13" s="14" t="s">
        <v>3</v>
      </c>
      <c r="E13" s="9">
        <v>106211</v>
      </c>
      <c r="F13" s="14" t="s">
        <v>3</v>
      </c>
      <c r="G13" s="1"/>
    </row>
    <row r="14" spans="1:7" x14ac:dyDescent="0.25">
      <c r="A14" s="1"/>
      <c r="B14" s="24" t="s">
        <v>291</v>
      </c>
      <c r="C14" s="21">
        <v>0</v>
      </c>
      <c r="D14" s="14" t="s">
        <v>3</v>
      </c>
      <c r="E14" s="9">
        <v>5740</v>
      </c>
      <c r="F14" s="14" t="s">
        <v>3</v>
      </c>
      <c r="G14" s="1"/>
    </row>
    <row r="15" spans="1:7" x14ac:dyDescent="0.25">
      <c r="A15" s="1"/>
      <c r="B15" s="24" t="s">
        <v>292</v>
      </c>
      <c r="C15" s="21">
        <v>0</v>
      </c>
      <c r="D15" s="14" t="s">
        <v>3</v>
      </c>
      <c r="E15" s="9">
        <v>131710</v>
      </c>
      <c r="F15" s="14" t="s">
        <v>3</v>
      </c>
      <c r="G15" s="1"/>
    </row>
    <row r="16" spans="1:7" x14ac:dyDescent="0.25">
      <c r="A16" s="1"/>
      <c r="B16" s="24" t="s">
        <v>293</v>
      </c>
      <c r="C16" s="21">
        <v>0</v>
      </c>
      <c r="D16" s="14" t="s">
        <v>3</v>
      </c>
      <c r="E16" s="9">
        <v>33064</v>
      </c>
      <c r="F16" s="14" t="s">
        <v>3</v>
      </c>
      <c r="G16" s="1"/>
    </row>
    <row r="17" spans="1:7" x14ac:dyDescent="0.25">
      <c r="A17" s="1"/>
      <c r="B17" s="24" t="s">
        <v>294</v>
      </c>
      <c r="C17" s="21">
        <v>0</v>
      </c>
      <c r="D17" s="14" t="s">
        <v>3</v>
      </c>
      <c r="E17" s="9">
        <v>38494</v>
      </c>
      <c r="F17" s="14" t="s">
        <v>3</v>
      </c>
      <c r="G17" s="1"/>
    </row>
    <row r="18" spans="1:7" x14ac:dyDescent="0.25">
      <c r="A18" s="1"/>
      <c r="B18" s="24" t="s">
        <v>295</v>
      </c>
      <c r="C18" s="21">
        <v>0</v>
      </c>
      <c r="D18" s="14" t="s">
        <v>3</v>
      </c>
      <c r="E18" s="9">
        <v>6710</v>
      </c>
      <c r="F18" s="14" t="s">
        <v>3</v>
      </c>
      <c r="G18" s="1"/>
    </row>
    <row r="19" spans="1:7" x14ac:dyDescent="0.25">
      <c r="A19" s="1"/>
      <c r="B19" s="24" t="s">
        <v>296</v>
      </c>
      <c r="C19" s="21">
        <v>0</v>
      </c>
      <c r="D19" s="14" t="s">
        <v>3</v>
      </c>
      <c r="E19" s="9">
        <v>113826</v>
      </c>
      <c r="F19" s="14" t="s">
        <v>3</v>
      </c>
      <c r="G19" s="1"/>
    </row>
    <row r="20" spans="1:7" x14ac:dyDescent="0.25">
      <c r="A20" s="1"/>
      <c r="B20" s="24" t="s">
        <v>297</v>
      </c>
      <c r="C20" s="21">
        <v>0</v>
      </c>
      <c r="D20" s="14" t="s">
        <v>3</v>
      </c>
      <c r="E20" s="9">
        <v>217816</v>
      </c>
      <c r="F20" s="14" t="s">
        <v>3</v>
      </c>
      <c r="G20" s="1"/>
    </row>
    <row r="21" spans="1:7" x14ac:dyDescent="0.25">
      <c r="A21" s="1"/>
      <c r="B21" s="24" t="s">
        <v>298</v>
      </c>
      <c r="C21" s="21">
        <v>0</v>
      </c>
      <c r="D21" s="14" t="s">
        <v>3</v>
      </c>
      <c r="E21" s="9">
        <v>3395</v>
      </c>
      <c r="F21" s="14" t="s">
        <v>3</v>
      </c>
      <c r="G21" s="1"/>
    </row>
    <row r="22" spans="1:7" x14ac:dyDescent="0.25">
      <c r="A22" s="1"/>
      <c r="B22" s="24" t="s">
        <v>299</v>
      </c>
      <c r="C22" s="21">
        <v>0</v>
      </c>
      <c r="D22" s="14" t="s">
        <v>3</v>
      </c>
      <c r="E22" s="9">
        <v>194735</v>
      </c>
      <c r="F22" s="14" t="s">
        <v>3</v>
      </c>
      <c r="G22" s="1"/>
    </row>
    <row r="23" spans="1:7" x14ac:dyDescent="0.25">
      <c r="A23" s="1"/>
      <c r="B23" s="24" t="s">
        <v>300</v>
      </c>
      <c r="C23" s="21">
        <v>0</v>
      </c>
      <c r="D23" s="14" t="s">
        <v>3</v>
      </c>
      <c r="E23" s="9">
        <v>12330</v>
      </c>
      <c r="F23" s="14" t="s">
        <v>3</v>
      </c>
      <c r="G23" s="1"/>
    </row>
    <row r="24" spans="1:7" x14ac:dyDescent="0.25">
      <c r="A24" s="1"/>
      <c r="B24" s="24" t="s">
        <v>301</v>
      </c>
      <c r="C24" s="21">
        <v>0</v>
      </c>
      <c r="D24" s="14" t="s">
        <v>3</v>
      </c>
      <c r="E24" s="9">
        <v>80702</v>
      </c>
      <c r="F24" s="14" t="s">
        <v>3</v>
      </c>
      <c r="G24" s="1"/>
    </row>
    <row r="25" spans="1:7" x14ac:dyDescent="0.25">
      <c r="A25" s="1"/>
      <c r="B25" s="24" t="s">
        <v>302</v>
      </c>
      <c r="C25" s="21">
        <v>0</v>
      </c>
      <c r="D25" s="14" t="s">
        <v>3</v>
      </c>
      <c r="E25" s="9">
        <v>18377</v>
      </c>
      <c r="F25" s="14" t="s">
        <v>3</v>
      </c>
      <c r="G25" s="1"/>
    </row>
    <row r="26" spans="1:7" x14ac:dyDescent="0.25">
      <c r="A26" s="1"/>
      <c r="B26" s="24" t="s">
        <v>303</v>
      </c>
      <c r="C26" s="21">
        <v>0</v>
      </c>
      <c r="D26" s="14" t="s">
        <v>3</v>
      </c>
      <c r="E26" s="9">
        <v>175260</v>
      </c>
      <c r="F26" s="14" t="s">
        <v>3</v>
      </c>
      <c r="G26" s="1"/>
    </row>
    <row r="27" spans="1:7" x14ac:dyDescent="0.25">
      <c r="A27" s="1"/>
      <c r="B27" s="24" t="s">
        <v>304</v>
      </c>
      <c r="C27" s="21">
        <v>0</v>
      </c>
      <c r="D27" s="14" t="s">
        <v>3</v>
      </c>
      <c r="E27" s="9">
        <v>31478</v>
      </c>
      <c r="F27" s="14" t="s">
        <v>3</v>
      </c>
      <c r="G27" s="1"/>
    </row>
    <row r="28" spans="1:7" x14ac:dyDescent="0.25">
      <c r="A28" s="1"/>
      <c r="B28" s="24" t="s">
        <v>305</v>
      </c>
      <c r="C28" s="21">
        <v>0</v>
      </c>
      <c r="D28" s="14" t="s">
        <v>3</v>
      </c>
      <c r="E28" s="9">
        <v>54871</v>
      </c>
      <c r="F28" s="14" t="s">
        <v>3</v>
      </c>
      <c r="G28" s="1"/>
    </row>
    <row r="29" spans="1:7" x14ac:dyDescent="0.25">
      <c r="A29" s="1"/>
      <c r="B29" s="24" t="s">
        <v>306</v>
      </c>
      <c r="C29" s="21">
        <v>0</v>
      </c>
      <c r="D29" s="14" t="s">
        <v>3</v>
      </c>
      <c r="E29" s="9">
        <v>192888</v>
      </c>
      <c r="F29" s="14" t="s">
        <v>3</v>
      </c>
      <c r="G29" s="1"/>
    </row>
    <row r="30" spans="1:7" x14ac:dyDescent="0.25">
      <c r="A30" s="1"/>
      <c r="B30" s="24" t="s">
        <v>307</v>
      </c>
      <c r="C30" s="21">
        <v>0</v>
      </c>
      <c r="D30" s="14" t="s">
        <v>3</v>
      </c>
      <c r="E30" s="9">
        <v>14770</v>
      </c>
      <c r="F30" s="14" t="s">
        <v>3</v>
      </c>
      <c r="G30" s="1"/>
    </row>
    <row r="31" spans="1:7" x14ac:dyDescent="0.25">
      <c r="A31" s="1"/>
      <c r="B31" s="24" t="s">
        <v>308</v>
      </c>
      <c r="C31" s="21">
        <v>0</v>
      </c>
      <c r="D31" s="14" t="s">
        <v>3</v>
      </c>
      <c r="E31" s="9">
        <v>594280</v>
      </c>
      <c r="F31" s="14" t="s">
        <v>3</v>
      </c>
      <c r="G31" s="1"/>
    </row>
    <row r="32" spans="1:7" x14ac:dyDescent="0.25">
      <c r="A32" s="1"/>
      <c r="B32" s="24" t="s">
        <v>309</v>
      </c>
      <c r="C32" s="21">
        <v>0</v>
      </c>
      <c r="D32" s="14" t="s">
        <v>3</v>
      </c>
      <c r="E32" s="9">
        <v>6396</v>
      </c>
      <c r="F32" s="14" t="s">
        <v>3</v>
      </c>
      <c r="G32" s="1"/>
    </row>
    <row r="33" spans="1:7" x14ac:dyDescent="0.25">
      <c r="A33" s="1"/>
      <c r="B33" s="24" t="s">
        <v>310</v>
      </c>
      <c r="C33" s="21">
        <v>0</v>
      </c>
      <c r="D33" s="14" t="s">
        <v>3</v>
      </c>
      <c r="E33" s="9">
        <v>125101</v>
      </c>
      <c r="F33" s="14" t="s">
        <v>3</v>
      </c>
      <c r="G33" s="1"/>
    </row>
    <row r="34" spans="1:7" x14ac:dyDescent="0.25">
      <c r="A34" s="1"/>
      <c r="B34" s="24" t="s">
        <v>311</v>
      </c>
      <c r="C34" s="21">
        <v>0</v>
      </c>
      <c r="D34" s="14" t="s">
        <v>3</v>
      </c>
      <c r="E34" s="9">
        <v>6234</v>
      </c>
      <c r="F34" s="14" t="s">
        <v>3</v>
      </c>
      <c r="G34" s="1"/>
    </row>
    <row r="35" spans="1:7" x14ac:dyDescent="0.25">
      <c r="A35" s="1"/>
      <c r="B35" s="24" t="s">
        <v>312</v>
      </c>
      <c r="C35" s="21">
        <v>0</v>
      </c>
      <c r="D35" s="14" t="s">
        <v>3</v>
      </c>
      <c r="E35" s="9">
        <v>512059</v>
      </c>
      <c r="F35" s="14" t="s">
        <v>3</v>
      </c>
      <c r="G35" s="1"/>
    </row>
    <row r="36" spans="1:7" x14ac:dyDescent="0.25">
      <c r="A36" s="1"/>
      <c r="B36" s="24" t="s">
        <v>313</v>
      </c>
      <c r="C36" s="21">
        <v>0</v>
      </c>
      <c r="D36" s="14" t="s">
        <v>3</v>
      </c>
      <c r="E36" s="9">
        <v>113826</v>
      </c>
      <c r="F36" s="14" t="s">
        <v>3</v>
      </c>
      <c r="G36" s="1"/>
    </row>
    <row r="37" spans="1:7" x14ac:dyDescent="0.25">
      <c r="A37" s="1"/>
      <c r="B37" s="24" t="s">
        <v>314</v>
      </c>
      <c r="C37" s="21">
        <v>0</v>
      </c>
      <c r="D37" s="14" t="s">
        <v>3</v>
      </c>
      <c r="E37" s="9">
        <v>25439</v>
      </c>
      <c r="F37" s="14" t="s">
        <v>3</v>
      </c>
      <c r="G37" s="1"/>
    </row>
    <row r="38" spans="1:7" x14ac:dyDescent="0.25">
      <c r="A38" s="1"/>
      <c r="B38" s="24" t="s">
        <v>315</v>
      </c>
      <c r="C38" s="21">
        <v>0</v>
      </c>
      <c r="D38" s="14" t="s">
        <v>3</v>
      </c>
      <c r="E38" s="9">
        <v>139778</v>
      </c>
      <c r="F38" s="14" t="s">
        <v>3</v>
      </c>
      <c r="G38" s="1"/>
    </row>
    <row r="39" spans="1:7" x14ac:dyDescent="0.25">
      <c r="A39" s="1"/>
      <c r="B39" s="24" t="s">
        <v>316</v>
      </c>
      <c r="C39" s="21">
        <v>0</v>
      </c>
      <c r="D39" s="14" t="s">
        <v>3</v>
      </c>
      <c r="E39" s="9">
        <v>28278</v>
      </c>
      <c r="F39" s="14" t="s">
        <v>3</v>
      </c>
      <c r="G39" s="1"/>
    </row>
    <row r="40" spans="1:7" x14ac:dyDescent="0.25">
      <c r="A40" s="1"/>
      <c r="B40" s="24" t="s">
        <v>317</v>
      </c>
      <c r="C40" s="21">
        <v>0</v>
      </c>
      <c r="D40" s="14" t="s">
        <v>3</v>
      </c>
      <c r="E40" s="9">
        <v>24626</v>
      </c>
      <c r="F40" s="14" t="s">
        <v>3</v>
      </c>
      <c r="G40" s="1"/>
    </row>
    <row r="41" spans="1:7" x14ac:dyDescent="0.25">
      <c r="A41" s="1"/>
      <c r="B41" s="24" t="s">
        <v>318</v>
      </c>
      <c r="C41" s="21">
        <v>0</v>
      </c>
      <c r="D41" s="14" t="s">
        <v>3</v>
      </c>
      <c r="E41" s="9">
        <v>239881</v>
      </c>
      <c r="F41" s="14" t="s">
        <v>3</v>
      </c>
      <c r="G41" s="1"/>
    </row>
    <row r="42" spans="1:7" x14ac:dyDescent="0.25">
      <c r="A42" s="1"/>
      <c r="B42" s="24" t="s">
        <v>319</v>
      </c>
      <c r="C42" s="21">
        <v>0</v>
      </c>
      <c r="D42" s="14" t="s">
        <v>3</v>
      </c>
      <c r="E42" s="9">
        <v>158868</v>
      </c>
      <c r="F42" s="14" t="s">
        <v>3</v>
      </c>
      <c r="G42" s="1"/>
    </row>
    <row r="43" spans="1:7" x14ac:dyDescent="0.25">
      <c r="A43" s="1"/>
      <c r="B43" s="24" t="s">
        <v>320</v>
      </c>
      <c r="C43" s="21">
        <v>0</v>
      </c>
      <c r="D43" s="14" t="s">
        <v>3</v>
      </c>
      <c r="E43" s="9">
        <v>70201</v>
      </c>
      <c r="F43" s="14" t="s">
        <v>3</v>
      </c>
      <c r="G43" s="1"/>
    </row>
    <row r="44" spans="1:7" x14ac:dyDescent="0.25">
      <c r="A44" s="1"/>
      <c r="B44" s="24"/>
      <c r="C44" s="21"/>
      <c r="D44" s="14" t="s">
        <v>3</v>
      </c>
      <c r="E44" s="9"/>
      <c r="F44" s="14" t="s">
        <v>3</v>
      </c>
      <c r="G44" s="1"/>
    </row>
    <row r="45" spans="1:7" x14ac:dyDescent="0.25">
      <c r="A45" s="1"/>
      <c r="B45" s="24"/>
      <c r="C45" s="21"/>
      <c r="D45" s="14" t="s">
        <v>3</v>
      </c>
      <c r="E45" s="9"/>
      <c r="F45" s="14" t="s">
        <v>3</v>
      </c>
      <c r="G45" s="1"/>
    </row>
    <row r="46" spans="1:7" x14ac:dyDescent="0.25">
      <c r="A46" s="1"/>
      <c r="B46" s="33" t="s">
        <v>144</v>
      </c>
      <c r="C46" s="12">
        <f>SUM(C10:C45)</f>
        <v>634358</v>
      </c>
      <c r="D46" s="13" t="s">
        <v>3</v>
      </c>
      <c r="E46" s="12">
        <f>SUM(E10:E45)</f>
        <v>3727261</v>
      </c>
      <c r="F46" s="13" t="s">
        <v>3</v>
      </c>
      <c r="G46" s="1"/>
    </row>
    <row r="47" spans="1:7" x14ac:dyDescent="0.25">
      <c r="A47" s="1"/>
      <c r="B47" s="33" t="s">
        <v>233</v>
      </c>
      <c r="C47" s="12">
        <f>C46*(1+'Fane 15. Nøgletal'!C16)</f>
        <v>685614.12639999995</v>
      </c>
      <c r="D47" s="13" t="s">
        <v>3</v>
      </c>
      <c r="E47" s="12">
        <f>E46*(1+'Fane 15. Nøgletal'!C16)</f>
        <v>4028423.6888000001</v>
      </c>
      <c r="F47" s="13" t="s">
        <v>3</v>
      </c>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AeOm690tltVKnNdBC0n1S8SrlzRKVYdtTogxtN099Y3w5DDPtDhG8E/LAQn1UfRFInWKW5MP3+xmCeo5l1dgA==" saltValue="rkh3xEo7eOltRt5mdz45f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322</v>
      </c>
      <c r="C10" s="21">
        <v>744073</v>
      </c>
      <c r="D10" s="14" t="s">
        <v>3</v>
      </c>
      <c r="E10" s="9">
        <v>0</v>
      </c>
      <c r="F10" s="14" t="s">
        <v>3</v>
      </c>
      <c r="G10" s="1"/>
    </row>
    <row r="11" spans="1:7" x14ac:dyDescent="0.25">
      <c r="A11" s="1"/>
      <c r="B11" s="24" t="s">
        <v>321</v>
      </c>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744073</v>
      </c>
      <c r="D13" s="13" t="s">
        <v>3</v>
      </c>
      <c r="E13" s="12">
        <f>SUM(E10:E12)</f>
        <v>0</v>
      </c>
      <c r="F13" s="13" t="s">
        <v>3</v>
      </c>
      <c r="G13" s="1"/>
    </row>
    <row r="14" spans="1:7" x14ac:dyDescent="0.25">
      <c r="A14" s="1"/>
      <c r="B14" s="33" t="s">
        <v>235</v>
      </c>
      <c r="C14" s="12">
        <f>C13*(1+'Fane 15. Nøgletal'!C16)^2</f>
        <v>869172.98155071994</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qSVBMVHgq7oDKnunxCk/qNGBwEtJ8KdzFbug8AVdsJ8vGzUEN+btJ6KY9re4F95FbOHSl7QD5srJMfzwzVjvQ==" saltValue="7mtd+OtZgCTVJWH0/qQWx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DaO2SYpJ63LUD8/POUJXJog0nreM5v6qKNevFoon0aCCSt6m2yy+z/tDWLNa4axkyldGmBy0c4V8yiql5LBoQ==" saltValue="D77leR0Bz+JOQmRatELRD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2"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WTC18vZqS2T3TY74oPYjfsAK93ZeXXn495RItonvDMm9mE2W29Hv41NVlbQsfwYi3enQUPZi30rw1obc8/vlXA==" saltValue="a4Cr+SnnVBD2AWclsYTTG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2"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alTg2HTXErjIvcYYKZ+JCejvfhrQDf88pgsNER/Htd7/4UhbaoIlU3LUiOV50K0SycCpcI6yi4Q51+c6lwcA==" saltValue="kOst9XFlzBPDBKTlEpnkT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351781363.23977673</v>
      </c>
      <c r="D9" s="8" t="s">
        <v>3</v>
      </c>
      <c r="E9" s="1"/>
    </row>
    <row r="10" spans="1:5" ht="17.25" customHeight="1" x14ac:dyDescent="0.25">
      <c r="A10" s="1"/>
      <c r="B10" s="88" t="s">
        <v>36</v>
      </c>
      <c r="C10" s="7">
        <f>'Fane 11.1. Varige tillæg'!C47</f>
        <v>685614.12639999995</v>
      </c>
      <c r="D10" s="8" t="s">
        <v>3</v>
      </c>
      <c r="E10" s="1"/>
    </row>
    <row r="11" spans="1:5" ht="17.25" customHeight="1" x14ac:dyDescent="0.25">
      <c r="A11" s="1"/>
      <c r="B11" s="88" t="s">
        <v>37</v>
      </c>
      <c r="C11" s="9">
        <f>'Fane 11.1. Varige tillæg'!E47</f>
        <v>4028423.6888000001</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28804828.405242119</v>
      </c>
      <c r="D16" s="8" t="s">
        <v>3</v>
      </c>
      <c r="E16" s="1"/>
    </row>
    <row r="17" spans="1:5" ht="17.25" customHeight="1" x14ac:dyDescent="0.25">
      <c r="A17" s="1"/>
      <c r="B17" s="88" t="s">
        <v>10</v>
      </c>
      <c r="C17" s="41">
        <f>-SUM(C9,C10:C16)*'Fane 5. Individuelt eff. krav'!G9</f>
        <v>-183050.77308121181</v>
      </c>
      <c r="D17" s="8" t="s">
        <v>3</v>
      </c>
      <c r="E17" s="1"/>
    </row>
    <row r="18" spans="1:5" ht="17.25" customHeight="1" x14ac:dyDescent="0.25">
      <c r="A18" s="1"/>
      <c r="B18" s="88" t="s">
        <v>23</v>
      </c>
      <c r="C18" s="41">
        <f>-'Fane 4.1. Gen. krav - drift'!G54</f>
        <v>-2533328.2960799858</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382583850.39105767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8852672.2432691194</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66">
        <f>'Fane 11.2. Engangstillæg'!C14</f>
        <v>869172.98155071994</v>
      </c>
      <c r="D26" s="8" t="s">
        <v>3</v>
      </c>
      <c r="E26" s="1"/>
    </row>
    <row r="27" spans="1:5" ht="15" customHeight="1" x14ac:dyDescent="0.25">
      <c r="A27" s="1"/>
      <c r="B27" s="88" t="s">
        <v>70</v>
      </c>
      <c r="C27" s="9">
        <f>'Fane 13. Tilknyttet virksomhed'!E26</f>
        <v>0</v>
      </c>
      <c r="D27" s="8" t="s">
        <v>3</v>
      </c>
      <c r="E27" s="1"/>
    </row>
    <row r="28" spans="1:5" ht="15" customHeight="1" x14ac:dyDescent="0.25">
      <c r="A28" s="1"/>
      <c r="B28" s="88" t="s">
        <v>161</v>
      </c>
      <c r="C28" s="66">
        <f>-C26*('Fane 15. Nøgletal'!C33+'Fane 5. Individuelt eff. krav'!G9)</f>
        <v>-17796.391609895007</v>
      </c>
      <c r="D28" s="8" t="s">
        <v>3</v>
      </c>
      <c r="E28" s="1"/>
    </row>
    <row r="29" spans="1:5" ht="15" customHeight="1" x14ac:dyDescent="0.25">
      <c r="A29" s="1"/>
      <c r="B29" s="88" t="s">
        <v>162</v>
      </c>
      <c r="C29" s="9">
        <f>'Fane 13. Tilknyttet virksomhed'!E28</f>
        <v>0</v>
      </c>
      <c r="D29" s="8" t="s">
        <v>3</v>
      </c>
      <c r="E29" s="1"/>
    </row>
    <row r="30" spans="1:5" ht="15" customHeight="1" x14ac:dyDescent="0.25">
      <c r="A30" s="1"/>
      <c r="B30" s="71" t="s">
        <v>75</v>
      </c>
      <c r="C30" s="10">
        <f>SUM(C26:C29)</f>
        <v>851376.5899408249</v>
      </c>
      <c r="D30" s="11" t="s">
        <v>3</v>
      </c>
      <c r="E30" s="1"/>
    </row>
    <row r="31" spans="1:5" x14ac:dyDescent="0.25">
      <c r="A31" s="1"/>
      <c r="B31" s="33" t="s">
        <v>116</v>
      </c>
      <c r="C31" s="28"/>
      <c r="D31" s="19"/>
      <c r="E31" s="1"/>
    </row>
    <row r="32" spans="1:5" x14ac:dyDescent="0.25">
      <c r="A32" s="1"/>
      <c r="B32" s="31" t="s">
        <v>138</v>
      </c>
      <c r="C32" s="10">
        <f>'Fane 7. Kontrol af ØR2022'!E31</f>
        <v>-455400.5</v>
      </c>
      <c r="D32" s="11" t="s">
        <v>3</v>
      </c>
      <c r="E32" s="1"/>
    </row>
    <row r="33" spans="1:5" ht="15" customHeight="1" x14ac:dyDescent="0.25">
      <c r="A33" s="1"/>
      <c r="B33" s="33" t="s">
        <v>200</v>
      </c>
      <c r="C33" s="28"/>
      <c r="D33" s="19"/>
      <c r="E33" s="1"/>
    </row>
    <row r="34" spans="1:5" x14ac:dyDescent="0.25">
      <c r="A34" s="1"/>
      <c r="B34" s="31" t="s">
        <v>200</v>
      </c>
      <c r="C34" s="10">
        <f>'Fane 9. Korrektion af ØR2022'!E17</f>
        <v>-74472</v>
      </c>
      <c r="D34" s="11" t="s">
        <v>3</v>
      </c>
      <c r="E34" s="1"/>
    </row>
    <row r="35" spans="1:5" x14ac:dyDescent="0.25">
      <c r="A35" s="1"/>
      <c r="B35" s="30" t="s">
        <v>135</v>
      </c>
      <c r="C35" s="28"/>
      <c r="D35" s="19"/>
      <c r="E35" s="1"/>
    </row>
    <row r="36" spans="1:5" x14ac:dyDescent="0.25">
      <c r="A36" s="1"/>
      <c r="B36" s="71" t="s">
        <v>136</v>
      </c>
      <c r="C36" s="10">
        <f>'Fane 8. Skattesagen'!G13</f>
        <v>0</v>
      </c>
      <c r="D36" s="11" t="s">
        <v>3</v>
      </c>
      <c r="E36" s="1"/>
    </row>
    <row r="37" spans="1:5" x14ac:dyDescent="0.25">
      <c r="A37" s="1"/>
      <c r="B37" s="33" t="s">
        <v>108</v>
      </c>
      <c r="C37" s="49">
        <f>SUM(C34,C32,C24,C30,C22,C20,C36)</f>
        <v>391758026.7242676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IjbrPZKl3tLTqaoyolnbrUlO+Cv0ONcS7b5PBnrRPK7BeJ8PJGHWanjHsm+jQhbh5sretNNxIOSusGgVStVaQ==" saltValue="EMXN4MhhQ3CWi1aReeqJK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9">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8">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t1Vg86SnjoKvoYszB4w7pfmlugLvuVZogSV2cCZWV5q+Oyh69TNKqvhG97/lkFTxkPZzD1iEyBpMqSzAnjmJnA==" saltValue="2IWV+Ob2fEuJ58Mt3Q8T2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382583850.39105767</v>
      </c>
      <c r="D9" s="8" t="s">
        <v>3</v>
      </c>
      <c r="E9" s="1"/>
    </row>
    <row r="10" spans="1:5" ht="15" customHeight="1" x14ac:dyDescent="0.25">
      <c r="A10" s="1"/>
      <c r="B10" s="26" t="s">
        <v>19</v>
      </c>
      <c r="C10" s="7">
        <f>SUM(C9:C9)*'Fane 15. Nøgletal'!C16</f>
        <v>30912775.11159746</v>
      </c>
      <c r="D10" s="8" t="s">
        <v>3</v>
      </c>
      <c r="E10" s="1"/>
    </row>
    <row r="11" spans="1:5" ht="15" customHeight="1" x14ac:dyDescent="0.25">
      <c r="A11" s="1"/>
      <c r="B11" s="26" t="s">
        <v>10</v>
      </c>
      <c r="C11" s="9">
        <f>-SUM(C9:C10)*'Fane 5. Individuelt eff. krav'!G9</f>
        <v>-196446.48816008095</v>
      </c>
      <c r="D11" s="8" t="s">
        <v>3</v>
      </c>
      <c r="E11" s="1"/>
    </row>
    <row r="12" spans="1:5" ht="15" customHeight="1" x14ac:dyDescent="0.25">
      <c r="A12" s="1"/>
      <c r="B12" s="26" t="s">
        <v>23</v>
      </c>
      <c r="C12" s="9">
        <f>-'Fane 4.1. Gen. krav - drift'!G59</f>
        <v>-2683260.7979551838</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410616918.21653992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9567968.1605252642</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-455400.5</v>
      </c>
      <c r="D20" s="11" t="s">
        <v>3</v>
      </c>
      <c r="E20" s="1"/>
    </row>
    <row r="21" spans="1:5" x14ac:dyDescent="0.25">
      <c r="A21" s="1"/>
      <c r="B21" s="30" t="s">
        <v>135</v>
      </c>
      <c r="C21" s="28"/>
      <c r="D21" s="19"/>
      <c r="E21" s="1"/>
    </row>
    <row r="22" spans="1:5" x14ac:dyDescent="0.25">
      <c r="A22" s="1"/>
      <c r="B22" s="71" t="s">
        <v>136</v>
      </c>
      <c r="C22" s="10">
        <f>'Fane 8. Skattesagen'!G14</f>
        <v>0</v>
      </c>
      <c r="D22" s="11" t="s">
        <v>3</v>
      </c>
      <c r="E22" s="1"/>
    </row>
    <row r="23" spans="1:5" x14ac:dyDescent="0.25">
      <c r="A23" s="1"/>
      <c r="B23" s="33" t="s">
        <v>122</v>
      </c>
      <c r="C23" s="12">
        <f>SUM(C14,C16,C18,C20,C22)</f>
        <v>419729485.87706518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Y3GYSEB3Lo+bvgPJUtHQEYMKMSEfQkjuJd59MEyj6wUi+dc8S57OZigmGGxSqEPJLpxMNCr9vU/9kKxtKlODQ==" saltValue="ZHgOXhw3UcKHUCT9O3rrB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410616918.21653992</v>
      </c>
      <c r="D9" s="8" t="s">
        <v>3</v>
      </c>
      <c r="E9" s="1"/>
    </row>
    <row r="10" spans="1:5" ht="15" customHeight="1" x14ac:dyDescent="0.25">
      <c r="A10" s="1"/>
      <c r="B10" s="26" t="s">
        <v>19</v>
      </c>
      <c r="C10" s="7">
        <f>SUM(C9:C9)*'Fane 15. Nøgletal'!C16</f>
        <v>33177846.991896424</v>
      </c>
      <c r="D10" s="8" t="s">
        <v>3</v>
      </c>
      <c r="E10" s="1"/>
    </row>
    <row r="11" spans="1:5" ht="15" customHeight="1" x14ac:dyDescent="0.25">
      <c r="A11" s="1"/>
      <c r="B11" s="26" t="s">
        <v>10</v>
      </c>
      <c r="C11" s="9">
        <f>-SUM(C9:C10)*'Fane 5. Individuelt eff. krav'!G9</f>
        <v>-210840.71238319014</v>
      </c>
      <c r="D11" s="8" t="s">
        <v>3</v>
      </c>
      <c r="E11" s="1"/>
    </row>
    <row r="12" spans="1:5" ht="15" customHeight="1" x14ac:dyDescent="0.25">
      <c r="A12" s="1"/>
      <c r="B12" s="26" t="s">
        <v>23</v>
      </c>
      <c r="C12" s="9">
        <f>-'Fane 4.1. Gen. krav - drift'!G64</f>
        <v>-2842066.9050213634</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440741857.59103179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10341059.987895705</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1" t="s">
        <v>136</v>
      </c>
      <c r="C22" s="10">
        <f>'Fane 8. Skattesagen'!G15</f>
        <v>0</v>
      </c>
      <c r="D22" s="11" t="s">
        <v>3</v>
      </c>
      <c r="E22" s="1"/>
    </row>
    <row r="23" spans="1:5" x14ac:dyDescent="0.25">
      <c r="A23" s="1"/>
      <c r="B23" s="33" t="s">
        <v>140</v>
      </c>
      <c r="C23" s="12">
        <f>SUM(C14,C16,C18,C20,C22)</f>
        <v>451082917.57892752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zWpp1vofouyMGgcKp5T7sxzFiKCh94FcDoAl7Rjq80ZhvPIdwAgGiTnSvb3CuY9yO+wbUSUxElYbhdzZCQswg==" saltValue="rJ5nkK2tdKA0Dxt3sy11K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440741857.59103179</v>
      </c>
      <c r="D9" s="8" t="s">
        <v>3</v>
      </c>
      <c r="E9" s="1"/>
      <c r="F9" s="1"/>
    </row>
    <row r="10" spans="1:6" ht="15" customHeight="1" x14ac:dyDescent="0.25">
      <c r="A10" s="1"/>
      <c r="B10" s="26" t="s">
        <v>19</v>
      </c>
      <c r="C10" s="7">
        <f>SUM(C9:C9)*'Fane 15. Nøgletal'!C16</f>
        <v>35611942.093355365</v>
      </c>
      <c r="D10" s="8" t="s">
        <v>3</v>
      </c>
      <c r="E10" s="1"/>
      <c r="F10" s="1"/>
    </row>
    <row r="11" spans="1:6" ht="15" customHeight="1" x14ac:dyDescent="0.25">
      <c r="A11" s="1"/>
      <c r="B11" s="26" t="s">
        <v>10</v>
      </c>
      <c r="C11" s="9">
        <f>-SUM(C9:C10)*'Fane 5. Individuelt eff. krav'!G9</f>
        <v>-226309.05622495254</v>
      </c>
      <c r="D11" s="8" t="s">
        <v>3</v>
      </c>
      <c r="E11" s="1"/>
      <c r="F11" s="1"/>
    </row>
    <row r="12" spans="1:6" ht="15" customHeight="1" x14ac:dyDescent="0.25">
      <c r="A12" s="1"/>
      <c r="B12" s="26" t="s">
        <v>23</v>
      </c>
      <c r="C12" s="9">
        <f>-'Fane 4.1. Gen. krav - drift'!G69</f>
        <v>-3010271.7927281475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473117218.83543408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11176617.634917678</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1" t="s">
        <v>136</v>
      </c>
      <c r="C22" s="10">
        <f>'Fane 8. Skattesagen'!G16</f>
        <v>0</v>
      </c>
      <c r="D22" s="11" t="s">
        <v>3</v>
      </c>
      <c r="E22" s="1"/>
      <c r="F22" s="1"/>
    </row>
    <row r="23" spans="1:6" x14ac:dyDescent="0.25">
      <c r="A23" s="1"/>
      <c r="B23" s="33" t="s">
        <v>209</v>
      </c>
      <c r="C23" s="12">
        <f>SUM(C14,C16,C18,C20,C22)</f>
        <v>484293836.47035176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BgKiXwKFLu9lTlPclL3q9whODMXtkFBAU1x+zLYZXitWVBWXOQy66dDcLRR1erDvHOyJgBhZsHIUN2Rh4eew==" saltValue="k8YjzA2smzOdH5Bhikiwf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348058497.43129545</v>
      </c>
      <c r="D9" s="8" t="s">
        <v>3</v>
      </c>
      <c r="E9" s="1"/>
    </row>
    <row r="10" spans="1:5" x14ac:dyDescent="0.25">
      <c r="A10" s="1"/>
      <c r="B10" s="88" t="s">
        <v>36</v>
      </c>
      <c r="C10" s="7">
        <v>1115537.9640000002</v>
      </c>
      <c r="D10" s="8" t="s">
        <v>3</v>
      </c>
      <c r="E10" s="1"/>
    </row>
    <row r="11" spans="1:5" x14ac:dyDescent="0.25">
      <c r="A11" s="1"/>
      <c r="B11" s="88" t="s">
        <v>37</v>
      </c>
      <c r="C11" s="9">
        <v>7298370.2880000006</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1448128.1752944749</v>
      </c>
      <c r="D16" s="8" t="s">
        <v>3</v>
      </c>
      <c r="E16" s="1"/>
    </row>
    <row r="17" spans="1:5" x14ac:dyDescent="0.25">
      <c r="A17" s="1"/>
      <c r="B17" s="88" t="s">
        <v>10</v>
      </c>
      <c r="C17" s="41">
        <v>0</v>
      </c>
      <c r="D17" s="8" t="s">
        <v>3</v>
      </c>
      <c r="E17" s="1"/>
    </row>
    <row r="18" spans="1:5" x14ac:dyDescent="0.25">
      <c r="A18" s="1"/>
      <c r="B18" s="88" t="s">
        <v>23</v>
      </c>
      <c r="C18" s="41">
        <v>-2377781.4441340915</v>
      </c>
      <c r="D18" s="8" t="s">
        <v>3</v>
      </c>
      <c r="E18" s="1"/>
    </row>
    <row r="19" spans="1:5" x14ac:dyDescent="0.25">
      <c r="A19" s="1"/>
      <c r="B19" s="88" t="s">
        <v>24</v>
      </c>
      <c r="C19" s="41">
        <v>-3761389.1746790255</v>
      </c>
      <c r="D19" s="8" t="s">
        <v>3</v>
      </c>
      <c r="E19" s="47"/>
    </row>
    <row r="20" spans="1:5" x14ac:dyDescent="0.25">
      <c r="A20" s="1"/>
      <c r="B20" s="82" t="s">
        <v>21</v>
      </c>
      <c r="C20" s="10">
        <v>351781363.23977673</v>
      </c>
      <c r="D20" s="11" t="s">
        <v>3</v>
      </c>
      <c r="E20" s="1"/>
    </row>
    <row r="21" spans="1:5" x14ac:dyDescent="0.25">
      <c r="A21" s="1"/>
      <c r="B21" s="33" t="s">
        <v>12</v>
      </c>
      <c r="C21" s="28"/>
      <c r="D21" s="19"/>
      <c r="E21" s="1"/>
    </row>
    <row r="22" spans="1:5" x14ac:dyDescent="0.25">
      <c r="A22" s="1"/>
      <c r="B22" s="31" t="s">
        <v>12</v>
      </c>
      <c r="C22" s="10">
        <v>8895870.0837072004</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70">
        <v>0</v>
      </c>
      <c r="D26" s="8" t="s">
        <v>3</v>
      </c>
      <c r="E26" s="1"/>
    </row>
    <row r="27" spans="1:5" x14ac:dyDescent="0.25">
      <c r="A27" s="1"/>
      <c r="B27" s="88" t="s">
        <v>70</v>
      </c>
      <c r="C27" s="70">
        <v>0</v>
      </c>
      <c r="D27" s="8" t="s">
        <v>3</v>
      </c>
      <c r="E27" s="1"/>
    </row>
    <row r="28" spans="1:5" x14ac:dyDescent="0.25">
      <c r="A28" s="1"/>
      <c r="B28" s="88" t="s">
        <v>161</v>
      </c>
      <c r="C28" s="70">
        <v>0</v>
      </c>
      <c r="D28" s="8" t="s">
        <v>3</v>
      </c>
      <c r="E28" s="1"/>
    </row>
    <row r="29" spans="1:5" x14ac:dyDescent="0.25">
      <c r="A29" s="1"/>
      <c r="B29" s="88" t="s">
        <v>162</v>
      </c>
      <c r="C29" s="70">
        <v>0</v>
      </c>
      <c r="D29" s="8" t="s">
        <v>3</v>
      </c>
      <c r="E29" s="1"/>
    </row>
    <row r="30" spans="1:5" x14ac:dyDescent="0.25">
      <c r="A30" s="1"/>
      <c r="B30" s="71" t="s">
        <v>75</v>
      </c>
      <c r="C30" s="10">
        <v>0</v>
      </c>
      <c r="D30" s="11" t="s">
        <v>3</v>
      </c>
      <c r="E30" s="1"/>
    </row>
    <row r="31" spans="1:5" x14ac:dyDescent="0.25">
      <c r="A31" s="1"/>
      <c r="B31" s="33" t="s">
        <v>116</v>
      </c>
      <c r="C31" s="28"/>
      <c r="D31" s="19"/>
      <c r="E31" s="1"/>
    </row>
    <row r="32" spans="1:5" x14ac:dyDescent="0.25">
      <c r="A32" s="1"/>
      <c r="B32" s="31" t="s">
        <v>138</v>
      </c>
      <c r="C32" s="10">
        <v>-3646480.852949053</v>
      </c>
      <c r="D32" s="11" t="s">
        <v>3</v>
      </c>
      <c r="E32" s="1"/>
    </row>
    <row r="33" spans="1:5" x14ac:dyDescent="0.25">
      <c r="A33" s="1"/>
      <c r="B33" s="33" t="s">
        <v>266</v>
      </c>
      <c r="C33" s="28"/>
      <c r="D33" s="19"/>
      <c r="E33" s="1"/>
    </row>
    <row r="34" spans="1:5" x14ac:dyDescent="0.25">
      <c r="A34" s="1"/>
      <c r="B34" s="31" t="s">
        <v>266</v>
      </c>
      <c r="C34" s="10">
        <v>-74472</v>
      </c>
      <c r="D34" s="11" t="s">
        <v>3</v>
      </c>
      <c r="E34" s="1"/>
    </row>
    <row r="35" spans="1:5" x14ac:dyDescent="0.25">
      <c r="A35" s="1"/>
      <c r="B35" s="30" t="s">
        <v>135</v>
      </c>
      <c r="C35" s="28"/>
      <c r="D35" s="19"/>
      <c r="E35" s="1"/>
    </row>
    <row r="36" spans="1:5" x14ac:dyDescent="0.25">
      <c r="A36" s="1"/>
      <c r="B36" s="71" t="s">
        <v>136</v>
      </c>
      <c r="C36" s="10">
        <v>0</v>
      </c>
      <c r="D36" s="11" t="s">
        <v>3</v>
      </c>
      <c r="E36" s="1"/>
    </row>
    <row r="37" spans="1:5" x14ac:dyDescent="0.25">
      <c r="A37" s="1"/>
      <c r="B37" s="33" t="s">
        <v>267</v>
      </c>
      <c r="C37" s="49">
        <v>356956280.47053486</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vnlZykGPHX/SqTsQaiB3/GfG2q40EmPtVaCK/bzQwtl1NvmKd8EyyEtxzG9LafRHVmM8qRWiGOHKX8NtTcvjQ==" saltValue="LjuM5ex7+gPpRxnATOxXu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122039067.92496116</v>
      </c>
      <c r="H5" s="14" t="s">
        <v>3</v>
      </c>
      <c r="I5" s="1"/>
    </row>
    <row r="6" spans="1:9" x14ac:dyDescent="0.25">
      <c r="A6" s="1"/>
      <c r="B6" s="114" t="s">
        <v>102</v>
      </c>
      <c r="C6" s="115"/>
      <c r="D6" s="115"/>
      <c r="E6" s="115"/>
      <c r="F6" s="116"/>
      <c r="G6" s="67">
        <v>0</v>
      </c>
      <c r="H6" s="14" t="s">
        <v>3</v>
      </c>
      <c r="I6" s="1"/>
    </row>
    <row r="7" spans="1:9" x14ac:dyDescent="0.25">
      <c r="A7" s="1"/>
      <c r="B7" s="120" t="s">
        <v>39</v>
      </c>
      <c r="C7" s="121"/>
      <c r="D7" s="121"/>
      <c r="E7" s="121"/>
      <c r="F7" s="122"/>
      <c r="G7" s="23">
        <f>SUM(G5:G6)*'Fane 15. Nøgletal'!C33</f>
        <v>2440781.3584992234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121691256.58137503</v>
      </c>
      <c r="H11" s="14" t="s">
        <v>3</v>
      </c>
      <c r="I11" s="1"/>
    </row>
    <row r="12" spans="1:9" ht="15" customHeight="1" x14ac:dyDescent="0.25">
      <c r="A12" s="1"/>
      <c r="B12" s="120" t="s">
        <v>103</v>
      </c>
      <c r="C12" s="121"/>
      <c r="D12" s="121"/>
      <c r="E12" s="121"/>
      <c r="F12" s="122"/>
      <c r="G12" s="67">
        <v>0</v>
      </c>
      <c r="H12" s="14" t="s">
        <v>3</v>
      </c>
      <c r="I12" s="1"/>
    </row>
    <row r="13" spans="1:9" x14ac:dyDescent="0.25">
      <c r="A13" s="1"/>
      <c r="B13" s="114" t="s">
        <v>100</v>
      </c>
      <c r="C13" s="115"/>
      <c r="D13" s="115"/>
      <c r="E13" s="115"/>
      <c r="F13" s="116"/>
      <c r="G13" s="67">
        <v>0</v>
      </c>
      <c r="H13" s="14" t="s">
        <v>3</v>
      </c>
      <c r="I13" s="1"/>
    </row>
    <row r="14" spans="1:9" x14ac:dyDescent="0.25">
      <c r="A14" s="1"/>
      <c r="B14" s="123" t="s">
        <v>244</v>
      </c>
      <c r="C14" s="124"/>
      <c r="D14" s="124"/>
      <c r="E14" s="124"/>
      <c r="F14" s="125"/>
      <c r="G14" s="67">
        <v>0</v>
      </c>
      <c r="H14" s="14" t="s">
        <v>3</v>
      </c>
      <c r="I14" s="1"/>
    </row>
    <row r="15" spans="1:9" x14ac:dyDescent="0.25">
      <c r="A15" s="1"/>
      <c r="B15" s="120" t="s">
        <v>41</v>
      </c>
      <c r="C15" s="121"/>
      <c r="D15" s="121"/>
      <c r="E15" s="121"/>
      <c r="F15" s="122"/>
      <c r="G15" s="23">
        <f>SUM(G11:G14)*'Fane 15. Nøgletal'!C33</f>
        <v>2433825.1316275005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121344436.50011812</v>
      </c>
      <c r="H19" s="14" t="s">
        <v>3</v>
      </c>
      <c r="I19" s="1"/>
    </row>
    <row r="20" spans="1:9" x14ac:dyDescent="0.25">
      <c r="A20" s="1"/>
      <c r="B20" s="123" t="s">
        <v>245</v>
      </c>
      <c r="C20" s="124"/>
      <c r="D20" s="124"/>
      <c r="E20" s="124"/>
      <c r="F20" s="125"/>
      <c r="G20" s="67">
        <v>0</v>
      </c>
      <c r="H20" s="14" t="s">
        <v>3</v>
      </c>
      <c r="I20" s="1"/>
    </row>
    <row r="21" spans="1:9" x14ac:dyDescent="0.25">
      <c r="A21" s="1"/>
      <c r="B21" s="120" t="s">
        <v>43</v>
      </c>
      <c r="C21" s="121"/>
      <c r="D21" s="121"/>
      <c r="E21" s="121"/>
      <c r="F21" s="122"/>
      <c r="G21" s="23">
        <f>SUM(G19:G20)*'Fane 15. Nøgletal'!C33</f>
        <v>2426888.7300023623</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121260223.46118705</v>
      </c>
      <c r="H25" s="14" t="s">
        <v>3</v>
      </c>
      <c r="I25" s="1"/>
    </row>
    <row r="26" spans="1:9" x14ac:dyDescent="0.25">
      <c r="A26" s="1"/>
      <c r="B26" s="123" t="s">
        <v>246</v>
      </c>
      <c r="C26" s="124"/>
      <c r="D26" s="124"/>
      <c r="E26" s="124"/>
      <c r="F26" s="125"/>
      <c r="G26" s="67">
        <v>0</v>
      </c>
      <c r="H26" s="14" t="s">
        <v>3</v>
      </c>
      <c r="I26" s="1"/>
    </row>
    <row r="27" spans="1:9" x14ac:dyDescent="0.25">
      <c r="A27" s="1"/>
      <c r="B27" s="120" t="s">
        <v>45</v>
      </c>
      <c r="C27" s="121"/>
      <c r="D27" s="121"/>
      <c r="E27" s="121"/>
      <c r="F27" s="122"/>
      <c r="G27" s="23">
        <f>(G25+G26)*'Fane 15. Nøgletal'!C33</f>
        <v>2425204.469223741</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121176068.86610499</v>
      </c>
      <c r="H31" s="14" t="s">
        <v>3</v>
      </c>
      <c r="I31" s="1"/>
    </row>
    <row r="32" spans="1:9" x14ac:dyDescent="0.25">
      <c r="A32" s="1"/>
      <c r="B32" s="120" t="s">
        <v>243</v>
      </c>
      <c r="C32" s="121"/>
      <c r="D32" s="121"/>
      <c r="E32" s="121"/>
      <c r="F32" s="122"/>
      <c r="G32" s="63">
        <v>240054.86685851999</v>
      </c>
      <c r="H32" s="14" t="s">
        <v>3</v>
      </c>
      <c r="I32" s="1"/>
    </row>
    <row r="33" spans="1:9" x14ac:dyDescent="0.25">
      <c r="A33" s="1"/>
      <c r="B33" s="120" t="s">
        <v>54</v>
      </c>
      <c r="C33" s="121"/>
      <c r="D33" s="121"/>
      <c r="E33" s="121"/>
      <c r="F33" s="122"/>
      <c r="G33" s="23">
        <f>(G31+G32)*'Fane 15. Nøgletal'!C33</f>
        <v>2428322.4746592706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119380461.00245667</v>
      </c>
      <c r="H37" s="14" t="s">
        <v>3</v>
      </c>
      <c r="I37" s="1"/>
    </row>
    <row r="38" spans="1:9" x14ac:dyDescent="0.25">
      <c r="A38" s="1"/>
      <c r="B38" s="120" t="s">
        <v>242</v>
      </c>
      <c r="C38" s="121"/>
      <c r="D38" s="121"/>
      <c r="E38" s="121"/>
      <c r="F38" s="122"/>
      <c r="G38" s="63">
        <v>360944.49327086005</v>
      </c>
      <c r="H38" s="14" t="s">
        <v>3</v>
      </c>
      <c r="I38" s="1"/>
    </row>
    <row r="39" spans="1:9" x14ac:dyDescent="0.25">
      <c r="A39" s="1"/>
      <c r="B39" s="120" t="s">
        <v>128</v>
      </c>
      <c r="C39" s="121"/>
      <c r="D39" s="121"/>
      <c r="E39" s="121"/>
      <c r="F39" s="122"/>
      <c r="G39" s="23">
        <f>(G37+G38)*'Fane 15. Nøgletal'!C33</f>
        <v>2394828.1099145506</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117733821.09118617</v>
      </c>
      <c r="H43" s="14" t="s">
        <v>3</v>
      </c>
      <c r="I43" s="1"/>
    </row>
    <row r="44" spans="1:9" x14ac:dyDescent="0.25">
      <c r="A44" s="1"/>
      <c r="B44" s="126" t="s">
        <v>157</v>
      </c>
      <c r="C44" s="127"/>
      <c r="D44" s="127"/>
      <c r="E44" s="127"/>
      <c r="F44" s="128"/>
      <c r="G44" s="45">
        <v>1155251.1155184002</v>
      </c>
      <c r="H44" s="14" t="s">
        <v>3</v>
      </c>
      <c r="I44" s="1"/>
    </row>
    <row r="45" spans="1:9" x14ac:dyDescent="0.25">
      <c r="A45" s="1"/>
      <c r="B45" s="120" t="s">
        <v>129</v>
      </c>
      <c r="C45" s="121"/>
      <c r="D45" s="121"/>
      <c r="E45" s="121"/>
      <c r="F45" s="122"/>
      <c r="G45" s="23">
        <f>SUM(G43:G44)*'Fane 15. Nøgletal'!C33</f>
        <v>2377781.4441340915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125925403.05618618</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741011.7478131199</v>
      </c>
      <c r="H53" s="14" t="s">
        <v>3</v>
      </c>
      <c r="I53" s="1"/>
    </row>
    <row r="54" spans="1:9" x14ac:dyDescent="0.25">
      <c r="A54" s="1"/>
      <c r="B54" s="120" t="s">
        <v>210</v>
      </c>
      <c r="C54" s="121"/>
      <c r="D54" s="121"/>
      <c r="E54" s="121"/>
      <c r="F54" s="122"/>
      <c r="G54" s="23">
        <f>(G52)*'Fane 15. Nøgletal'!C33+(G53)*'Fane 15. Nøgletal'!C33</f>
        <v>2533328.2960799858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134163039.89775918</v>
      </c>
      <c r="H58" s="14" t="s">
        <v>3</v>
      </c>
      <c r="I58" s="1"/>
    </row>
    <row r="59" spans="1:9" x14ac:dyDescent="0.25">
      <c r="A59" s="1"/>
      <c r="B59" s="78" t="s">
        <v>211</v>
      </c>
      <c r="C59" s="79"/>
      <c r="D59" s="79"/>
      <c r="E59" s="79"/>
      <c r="F59" s="80"/>
      <c r="G59" s="23">
        <f>(G58)*'Fane 15. Nøgletal'!C33</f>
        <v>2683260.7979551838</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142103345.25106817</v>
      </c>
      <c r="H63" s="14" t="s">
        <v>3</v>
      </c>
      <c r="I63" s="1"/>
    </row>
    <row r="64" spans="1:9" x14ac:dyDescent="0.25">
      <c r="A64" s="1"/>
      <c r="B64" s="78" t="s">
        <v>214</v>
      </c>
      <c r="C64" s="79"/>
      <c r="D64" s="79"/>
      <c r="E64" s="79"/>
      <c r="F64" s="80"/>
      <c r="G64" s="23">
        <f>(G63)*'Fane 15. Nøgletal'!C33</f>
        <v>2842066.9050213634</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150513589.63640738</v>
      </c>
      <c r="H68" s="14" t="s">
        <v>3</v>
      </c>
      <c r="I68" s="1"/>
    </row>
    <row r="69" spans="1:9" x14ac:dyDescent="0.25">
      <c r="A69" s="1"/>
      <c r="B69" s="78" t="s">
        <v>214</v>
      </c>
      <c r="C69" s="79"/>
      <c r="D69" s="79"/>
      <c r="E69" s="79"/>
      <c r="F69" s="80"/>
      <c r="G69" s="23">
        <f>(G68)*'Fane 15. Nøgletal'!C33</f>
        <v>3010271.7927281475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1wqNFpnKL3YM14Vo2px8xiBTHatXkoLYGca8cXp2uxLvIbarEKeWfAEdTMMFe9FHwh8YYFX2r+S/9XxpzZeAvA==" saltValue="IhHua53AjEz/CulzEgxoS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249427719.55880713</v>
      </c>
      <c r="H5" s="14" t="s">
        <v>3</v>
      </c>
      <c r="I5" s="1"/>
    </row>
    <row r="6" spans="1:9" x14ac:dyDescent="0.25">
      <c r="A6" s="1"/>
      <c r="B6" s="120" t="s">
        <v>51</v>
      </c>
      <c r="C6" s="121"/>
      <c r="D6" s="121"/>
      <c r="E6" s="121"/>
      <c r="F6" s="122"/>
      <c r="G6" s="23">
        <f>G5*'Fane 15. Nøgletal'!C21</f>
        <v>2269792.2479851451</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251483191.03876138</v>
      </c>
      <c r="H10" s="14" t="s">
        <v>3</v>
      </c>
      <c r="I10" s="1"/>
    </row>
    <row r="11" spans="1:9" x14ac:dyDescent="0.25">
      <c r="A11" s="1"/>
      <c r="B11" s="120" t="s">
        <v>104</v>
      </c>
      <c r="C11" s="121"/>
      <c r="D11" s="121"/>
      <c r="E11" s="121"/>
      <c r="F11" s="122"/>
      <c r="G11" s="63">
        <v>1183526.1356193961</v>
      </c>
      <c r="H11" s="14" t="s">
        <v>3</v>
      </c>
      <c r="I11" s="1"/>
    </row>
    <row r="12" spans="1:9" x14ac:dyDescent="0.25">
      <c r="A12" s="1"/>
      <c r="B12" s="123" t="s">
        <v>247</v>
      </c>
      <c r="C12" s="124"/>
      <c r="D12" s="124"/>
      <c r="E12" s="124"/>
      <c r="F12" s="125"/>
      <c r="G12" s="67">
        <v>0</v>
      </c>
      <c r="H12" s="14" t="s">
        <v>3</v>
      </c>
      <c r="I12" s="1"/>
    </row>
    <row r="13" spans="1:9" x14ac:dyDescent="0.25">
      <c r="A13" s="1"/>
      <c r="B13" s="120" t="s">
        <v>58</v>
      </c>
      <c r="C13" s="121"/>
      <c r="D13" s="121"/>
      <c r="E13" s="121"/>
      <c r="F13" s="122"/>
      <c r="G13" s="23">
        <f>SUM(G10:G12)*'Fane 15. Nøgletal'!C22</f>
        <v>4472200.8939865399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252537920.31530115</v>
      </c>
      <c r="H17" s="14" t="s">
        <v>3</v>
      </c>
      <c r="I17" s="1"/>
    </row>
    <row r="18" spans="1:9" x14ac:dyDescent="0.25">
      <c r="A18" s="1"/>
      <c r="B18" s="123" t="s">
        <v>248</v>
      </c>
      <c r="C18" s="124"/>
      <c r="D18" s="124"/>
      <c r="E18" s="124"/>
      <c r="F18" s="125"/>
      <c r="G18" s="63">
        <v>3032907.9467365695</v>
      </c>
      <c r="H18" s="14" t="s">
        <v>3</v>
      </c>
      <c r="I18" s="1"/>
    </row>
    <row r="19" spans="1:9" x14ac:dyDescent="0.25">
      <c r="A19" s="1"/>
      <c r="B19" s="120" t="s">
        <v>61</v>
      </c>
      <c r="C19" s="121"/>
      <c r="D19" s="121"/>
      <c r="E19" s="121"/>
      <c r="F19" s="122"/>
      <c r="G19" s="23">
        <f>G17*'Fane 15. Nøgletal'!C22+G18*'Fane 15. Nøgletal'!C23</f>
        <v>4496307.4887174387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256020688.8325547</v>
      </c>
      <c r="H23" s="14" t="s">
        <v>3</v>
      </c>
      <c r="I23" s="1"/>
    </row>
    <row r="24" spans="1:9" x14ac:dyDescent="0.25">
      <c r="A24" s="1"/>
      <c r="B24" s="123" t="s">
        <v>249</v>
      </c>
      <c r="C24" s="124"/>
      <c r="D24" s="124"/>
      <c r="E24" s="124"/>
      <c r="F24" s="125"/>
      <c r="G24" s="63">
        <v>1153276.8008711401</v>
      </c>
      <c r="H24" s="14" t="s">
        <v>3</v>
      </c>
      <c r="I24" s="1"/>
    </row>
    <row r="25" spans="1:9" x14ac:dyDescent="0.25">
      <c r="A25" s="1"/>
      <c r="B25" s="120" t="s">
        <v>64</v>
      </c>
      <c r="C25" s="121"/>
      <c r="D25" s="121"/>
      <c r="E25" s="121"/>
      <c r="F25" s="122"/>
      <c r="G25" s="23">
        <f>(G23+G24)*'Fane 15. Nøgletal'!C24</f>
        <v>7303740.6239892943</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254792668.44212246</v>
      </c>
      <c r="H29" s="14" t="s">
        <v>3</v>
      </c>
      <c r="I29" s="1"/>
    </row>
    <row r="30" spans="1:9" x14ac:dyDescent="0.25">
      <c r="A30" s="1"/>
      <c r="B30" s="120" t="s">
        <v>250</v>
      </c>
      <c r="C30" s="121"/>
      <c r="D30" s="121"/>
      <c r="E30" s="121"/>
      <c r="F30" s="122"/>
      <c r="G30" s="63">
        <v>2097358.0285593597</v>
      </c>
      <c r="H30" s="14" t="s">
        <v>3</v>
      </c>
      <c r="I30" s="1"/>
    </row>
    <row r="31" spans="1:9" x14ac:dyDescent="0.25">
      <c r="A31" s="1"/>
      <c r="B31" s="120" t="s">
        <v>67</v>
      </c>
      <c r="C31" s="121"/>
      <c r="D31" s="121"/>
      <c r="E31" s="121"/>
      <c r="F31" s="122"/>
      <c r="G31" s="23">
        <f>G29*'Fane 15. Nøgletal'!C24+G30*'Fane 15. Nøgletal'!C25</f>
        <v>7293789.1295416607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250419904.92436594</v>
      </c>
      <c r="H35" s="14" t="s">
        <v>3</v>
      </c>
      <c r="I35" s="1"/>
    </row>
    <row r="36" spans="1:9" x14ac:dyDescent="0.25">
      <c r="A36" s="1"/>
      <c r="B36" s="120" t="s">
        <v>251</v>
      </c>
      <c r="C36" s="121"/>
      <c r="D36" s="121"/>
      <c r="E36" s="121"/>
      <c r="F36" s="122"/>
      <c r="G36" s="63">
        <v>6697419.1202962613</v>
      </c>
      <c r="H36" s="14" t="s">
        <v>3</v>
      </c>
      <c r="I36" s="1"/>
    </row>
    <row r="37" spans="1:9" x14ac:dyDescent="0.25">
      <c r="A37" s="1"/>
      <c r="B37" s="120" t="s">
        <v>131</v>
      </c>
      <c r="C37" s="121"/>
      <c r="D37" s="121"/>
      <c r="E37" s="121"/>
      <c r="F37" s="122"/>
      <c r="G37" s="23">
        <f>(G35+G36)*'Fane 15. Nøgletal'!C26</f>
        <v>3805336.3958610008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254147917.20804226</v>
      </c>
      <c r="H41" s="14" t="s">
        <v>3</v>
      </c>
      <c r="I41" s="1"/>
    </row>
    <row r="42" spans="1:9" x14ac:dyDescent="0.25">
      <c r="A42" s="1"/>
      <c r="B42" s="40" t="s">
        <v>156</v>
      </c>
      <c r="C42" s="79"/>
      <c r="D42" s="79"/>
      <c r="E42" s="79"/>
      <c r="F42" s="80"/>
      <c r="G42" s="23">
        <v>7558192.2702528015</v>
      </c>
      <c r="H42" s="14" t="s">
        <v>3</v>
      </c>
      <c r="I42" s="1"/>
    </row>
    <row r="43" spans="1:9" x14ac:dyDescent="0.25">
      <c r="A43" s="1"/>
      <c r="B43" s="120" t="s">
        <v>132</v>
      </c>
      <c r="C43" s="121"/>
      <c r="D43" s="121"/>
      <c r="E43" s="121"/>
      <c r="F43" s="122"/>
      <c r="G43" s="23">
        <f>(G41)*'Fane 15. Nøgletal'!C26+G42*'Fane 15. Nøgletal'!C27</f>
        <v>3761389.1746790255</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278786653.70414823</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4353920.3228550404</v>
      </c>
      <c r="H54" s="14" t="s">
        <v>3</v>
      </c>
      <c r="I54" s="1"/>
    </row>
    <row r="55" spans="1:9" x14ac:dyDescent="0.25">
      <c r="A55" s="1"/>
      <c r="B55" s="120" t="s">
        <v>218</v>
      </c>
      <c r="C55" s="121"/>
      <c r="D55" s="121"/>
      <c r="E55" s="121"/>
      <c r="F55" s="122"/>
      <c r="G55" s="9">
        <f>'Fane 13. Tilknyttet virksomhed'!I53</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306018332.40838516</v>
      </c>
      <c r="H59" s="14" t="s">
        <v>3</v>
      </c>
      <c r="I59" s="1"/>
    </row>
    <row r="60" spans="1:9" x14ac:dyDescent="0.25">
      <c r="A60" s="1"/>
      <c r="B60" s="120" t="s">
        <v>220</v>
      </c>
      <c r="C60" s="121"/>
      <c r="D60" s="121"/>
      <c r="E60" s="121"/>
      <c r="F60" s="122"/>
      <c r="G60" s="9">
        <f>'Fane 13. Tilknyttet virksomhed'!I58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330744613.66698265</v>
      </c>
      <c r="H64" s="14" t="s">
        <v>3</v>
      </c>
      <c r="I64" s="1"/>
    </row>
    <row r="65" spans="1:9" x14ac:dyDescent="0.25">
      <c r="A65" s="1"/>
      <c r="B65" s="120" t="s">
        <v>222</v>
      </c>
      <c r="C65" s="121"/>
      <c r="D65" s="121"/>
      <c r="E65" s="121"/>
      <c r="F65" s="122"/>
      <c r="G65" s="9">
        <f>'Fane 13. Tilknyttet virksomhed'!I63</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357468778.45127487</v>
      </c>
      <c r="H69" s="14" t="s">
        <v>3</v>
      </c>
      <c r="I69" s="1"/>
    </row>
    <row r="70" spans="1:9" x14ac:dyDescent="0.25">
      <c r="A70" s="1"/>
      <c r="B70" s="120" t="s">
        <v>222</v>
      </c>
      <c r="C70" s="121"/>
      <c r="D70" s="121"/>
      <c r="E70" s="121"/>
      <c r="F70" s="122"/>
      <c r="G70" s="9">
        <f>'Fane 13. Tilknyttet virksomhed'!I68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TsVo6fB15xXw8io4J/rZBwyRmLY9Ph7oBjJgkiM5YHLzdoKNK0DOaX59VOILSkzkgpscpRPbr5+QP3vw14/lfQ==" saltValue="7EWO9+rAY/sg3vP/Q0k7q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4.750860733658382E-4</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feDSRMisfwbla4kzM46+mRTzsNAunDkXEUoWBOQsujGpQTFcEz286nxgF36g9lsADKfM26/tZLXM1p4CxiwEIg==" saltValue="cakEoJvlssDL283RlDbMv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2023-11-28T14:53:19Z</dcterms:modified>
</cp:coreProperties>
</file>