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DIN Forsyning Spildevand AS (S015)\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E14" i="39" l="1"/>
  <c r="E15" i="39" s="1"/>
  <c r="C16" i="15" l="1"/>
  <c r="G6" i="36" l="1"/>
  <c r="C20" i="23" l="1"/>
  <c r="C20" i="22"/>
  <c r="C20" i="15"/>
  <c r="C32" i="2"/>
  <c r="E24" i="32" l="1"/>
  <c r="E32" i="32" s="1"/>
  <c r="E34" i="32" s="1"/>
  <c r="E28" i="32" l="1"/>
  <c r="C15" i="19"/>
  <c r="E28" i="27" l="1"/>
  <c r="E34" i="27" l="1"/>
  <c r="C22" i="23"/>
  <c r="C22" i="22"/>
  <c r="C22" i="15"/>
  <c r="C36" i="2"/>
  <c r="G18" i="41" l="1"/>
  <c r="C11" i="29" l="1"/>
  <c r="E11" i="29"/>
  <c r="C14" i="39"/>
  <c r="J11" i="11"/>
  <c r="H11" i="11"/>
  <c r="E16" i="27" l="1"/>
  <c r="E29" i="20" l="1"/>
  <c r="E23" i="20"/>
  <c r="E17" i="20"/>
  <c r="E11" i="20"/>
  <c r="F10" i="11" l="1"/>
  <c r="F11" i="11" s="1"/>
  <c r="E12" i="29" l="1"/>
  <c r="C12" i="29"/>
  <c r="C12" i="21" l="1"/>
  <c r="C13" i="21" s="1"/>
  <c r="C12" i="2" l="1"/>
  <c r="C15" i="2" l="1"/>
  <c r="C14" i="2"/>
  <c r="G7" i="36" l="1"/>
  <c r="C15" i="39" l="1"/>
  <c r="C26" i="2" l="1"/>
  <c r="C28" i="2" s="1"/>
  <c r="C27" i="2" l="1"/>
  <c r="C29" i="2" s="1"/>
  <c r="C30" i="2" l="1"/>
  <c r="C16"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1" i="36" l="1"/>
  <c r="G14" i="36" l="1"/>
  <c r="G18" i="36" s="1"/>
  <c r="G20" i="36" s="1"/>
  <c r="G15" i="30" l="1"/>
  <c r="G19" i="30" s="1"/>
  <c r="G24" i="36" l="1"/>
  <c r="G26" i="36" s="1"/>
  <c r="G21" i="30"/>
  <c r="G30" i="36" l="1"/>
  <c r="G32" i="36" s="1"/>
  <c r="G25" i="30"/>
  <c r="C10" i="37" l="1"/>
  <c r="C15" i="37" s="1"/>
  <c r="C16" i="37" l="1"/>
  <c r="C10" i="2" s="1"/>
  <c r="G44" i="30" s="1"/>
  <c r="G36" i="36"/>
  <c r="G38" i="36" l="1"/>
  <c r="E19" i="27" s="1"/>
  <c r="G42" i="36" l="1"/>
  <c r="G27" i="30"/>
  <c r="G31" i="30" l="1"/>
  <c r="E10" i="37"/>
  <c r="E15" i="37" s="1"/>
  <c r="G33" i="30" l="1"/>
  <c r="G37" i="30" s="1"/>
  <c r="G39" i="30" s="1"/>
  <c r="E16" i="37"/>
  <c r="C11" i="2" l="1"/>
  <c r="G43" i="36" s="1"/>
  <c r="G44" i="36" s="1"/>
  <c r="G54" i="36" l="1"/>
  <c r="G55" i="36" l="1"/>
  <c r="G59" i="36" s="1"/>
  <c r="G43" i="30"/>
  <c r="G45" i="30" s="1"/>
  <c r="E18" i="27"/>
  <c r="E20" i="27" s="1"/>
  <c r="E35" i="27" s="1"/>
  <c r="C19" i="2"/>
  <c r="G60" i="36" l="1"/>
  <c r="G64" i="36" s="1"/>
  <c r="G65"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<sst xmlns="http://schemas.openxmlformats.org/spreadsheetml/2006/main" count="627" uniqueCount="295">
  <si>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</si>
  <si>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</si>
  <si>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</si>
  <si>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</si>
  <si>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</si>
  <si>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</si>
  <si>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</si>
  <si>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</si>
  <si>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</si>
  <si>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</si>
  <si>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</si>
  <si>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</si>
  <si>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</si>
  <si>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</si>
  <si>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</si>
  <si>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</si>
  <si>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</si>
  <si>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</si>
  <si>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</si>
  <si>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</si>
  <si>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</si>
  <si>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</si>
  <si>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</si>
  <si>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</si>
  <si>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</si>
  <si>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</si>
  <si>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</si>
  <si>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</si>
  <si>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</si>
  <si>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</si>
  <si>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</si>
  <si>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</si>
  <si>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</si>
  <si>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</si>
  <si>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</si>
  <si>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</si>
  <si>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</si>
  <si>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</si>
  <si>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</si>
  <si>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</si>
  <si>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</si>
  <si>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</si>
  <si>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</si>
  <si>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</si>
  <si>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</si>
  <si>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</si>
  <si>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</si>
  <si>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</si>
  <si>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</si>
  <si>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</si>
  <si>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</si>
  <si>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</si>
  <si>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</si>
  <si>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</si>
  <si>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</si>
  <si>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</si>
  <si>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</si>
  <si>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</si>
  <si>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</si>
  <si>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</si>
  <si>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</si>
  <si>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</si>
  <si>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</si>
  <si>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</si>
  <si>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</si>
  <si>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</si>
  <si>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</si>
  <si>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</si>
  <si>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</si>
  <si>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</si>
  <si>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</si>
  <si>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</si>
  <si>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</si>
  <si>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</si>
  <si>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</si>
  <si>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</si>
  <si>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</si>
  <si>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</si>
  <si>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</si>
  <si>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</si>
  <si>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</si>
  <si>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</si>
  <si>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</si>
  <si>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</si>
  <si>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</si>
  <si>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</si>
  <si>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</si>
  <si>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</si>
  <si>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</si>
  <si>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</si>
  <si>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</si>
  <si>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</si>
  <si>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</si>
  <si>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</si>
  <si>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</si>
  <si>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</si>
  <si>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</si>
  <si>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</si>
  <si>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</si>
  <si>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</si>
  <si>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</si>
  <si>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</si>
  <si>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</si>
  <si>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</si>
  <si>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</si>
  <si>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</si>
  <si>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</si>
  <si>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</si>
  <si>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</si>
  <si>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</si>
  <si>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</si>
  <si>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</si>
  <si>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</si>
  <si>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</si>
  <si>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</si>
  <si>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</si>
  <si>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</si>
  <si>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</si>
  <si>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</si>
  <si>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</si>
  <si>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</si>
  <si>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</si>
  <si>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</si>
  <si>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</si>
  <si>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</si>
  <si>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</si>
  <si>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</si>
  <si>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</si>
  <si>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</si>
  <si>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</si>
  <si>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</si>
  <si>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</si>
  <si>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</si>
  <si>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</si>
  <si>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</si>
  <si>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</si>
  <si>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</si>
  <si>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</si>
  <si>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</si>
  <si>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</si>
  <si>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</si>
  <si>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</si>
  <si>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</si>
  <si>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</si>
  <si>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</si>
  <si>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</si>
  <si>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</si>
  <si>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</si>
  <si>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</si>
  <si>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</si>
  <si>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</si>
  <si>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</si>
  <si>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</si>
  <si>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</si>
  <si>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</si>
  <si>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</si>
  <si>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</si>
  <si>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</si>
  <si>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</si>
  <si>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</si>
  <si>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</si>
  <si>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</si>
  <si>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</si>
  <si>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</si>
  <si>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</si>
  <si>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</si>
  <si>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</si>
  <si>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</si>
  <si>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</si>
  <si>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</si>
  <si>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</si>
  <si>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</si>
  <si>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</si>
  <si>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</si>
  <si>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</si>
  <si>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</si>
  <si>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</si>
  <si>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</si>
  <si>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</si>
  <si>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</si>
  <si>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</si>
  <si>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</si>
  <si>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</si>
  <si>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</si>
  <si>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</si>
  <si>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</si>
  <si>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</si>
  <si>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</si>
  <si>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</si>
  <si>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</si>
  <si>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</si>
  <si>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</si>
  <si>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</si>
  <si>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</si>
  <si>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</si>
  <si>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</si>
  <si>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</si>
  <si>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</si>
  <si>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</si>
  <si>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</si>
  <si>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</si>
  <si>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</si>
  <si>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</si>
  <si>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</si>
  <si>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</si>
  <si>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</si>
  <si>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</si>
  <si>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</si>
  <si>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</si>
  <si>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</si>
  <si>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</si>
  <si>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</si>
  <si>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</si>
  <si>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</si>
  <si>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</si>
  <si>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</si>
  <si>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</si>
  <si>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</si>
  <si>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</si>
  <si>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Oversigt over den økonomiske ramme for 2021</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</si>
  <si>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</si>
  <si>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</si>
  <si>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</si>
  <si>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</si>
  <si>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</si>
  <si>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</si>
  <si>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</si>
  <si>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</si>
  <si>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</si>
  <si>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</si>
  <si>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</si>
  <si>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</si>
  <si>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</si>
  <si>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</si>
  <si>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</si>
  <si>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</si>
  <si>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</si>
  <si>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</si>
  <si>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</si>
  <si>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</si>
  <si>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</si>
  <si>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</si>
  <si>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</si>
  <si>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</si>
  <si>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</si>
  <si>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</si>
  <si>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</si>
  <si>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</si>
  <si>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</si>
  <si>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</si>
  <si>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</si>
  <si>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</si>
  <si>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</si>
  <si>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</si>
  <si>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</si>
  <si>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</si>
  <si>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</si>
  <si>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</si>
  <si>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</si>
  <si>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</si>
  <si>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</si>
  <si>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</si>
  <si>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</si>
  <si>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</si>
  <si>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</si>
  <si>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</si>
  <si>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</si>
  <si>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</si>
  <si>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Spildevandsafgift</t>
  </si>
  <si>
    <t>Afgift til Forsyningssekretariatet</t>
  </si>
  <si>
    <t>Køb af ydelser og produkter fra andre vandselskaber reguleret af vandsektorloven</t>
  </si>
  <si>
    <t>Ejendomsskatter</t>
  </si>
  <si>
    <t>Erstatninger</t>
  </si>
  <si>
    <t>Resultat af kontrol med overholdelse af den økonomiske ramme for 2021</t>
  </si>
  <si>
    <t>Ingen tilknyttet virksomhed under hovedvirksomheden</t>
  </si>
  <si>
    <t>Ingen anlægsprojekter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</si>
  <si>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</si>
  <si>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</si>
  <si>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</si>
  <si>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</si>
  <si>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</si>
  <si>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</si>
  <si>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</si>
  <si>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</si>
  <si>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Separatkloakeringer, overløb mm.</t>
  </si>
  <si>
    <t>Separatkloakering, overløb mm</t>
  </si>
  <si>
    <t>Flytning af ledninger</t>
  </si>
  <si>
    <t>Flyning af ledninger</t>
  </si>
  <si>
    <t>Byggemodninger og nye stik</t>
  </si>
  <si>
    <t>Oprensning af regnvandsbassiner</t>
  </si>
  <si>
    <t>Oprensning af regnsvandsbassiner</t>
  </si>
  <si>
    <t>Indregnet fradrag i økonomisk ramme for 2022</t>
  </si>
  <si>
    <t>Indregnet fradrag i økonomisk ramme for 2023</t>
  </si>
  <si>
    <t>Korrektion af fradrag i den økonomiske ramme for 2023</t>
  </si>
  <si>
    <t>Tillæg/fradrag i den økonnomiske ramme for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</si>
</sst>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_-* #,##0.00\ _k_r_._-;\-* #,##0.00\ _k_r_._-;_-* &quot;-&quot;??\ _k_r_._-;_-@_-"/>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5" fontId="8" fillId="8" borderId="2" xfId="1" quotePrefix="1" applyNumberFormat="1" applyFont="1" applyFill="1" applyBorder="1" applyAlignment="1" applyProtection="1">
      <alignment horizontal="right" wrapText="1"/>
    </xf>
    <xf numFmtId="165" fontId="8" fillId="0" borderId="1" xfId="1" applyNumberFormat="1" applyFont="1" applyFill="1" applyBorder="1" applyProtection="1"/>
    <xf numFmtId="166" fontId="0" fillId="2" borderId="0" xfId="0" applyNumberFormat="1" applyFill="1" applyProtection="1"/>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8" borderId="1" xfId="1" applyNumberFormat="1" applyFont="1" applyFill="1" applyBorder="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Alignment="1" applyProtection="1">
      <alignmen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3" t="s">
        <v>4</v>
      </c>
      <c r="E6" s="103"/>
      <c r="F6" s="103"/>
      <c r="G6" s="103"/>
      <c r="H6" s="3"/>
      <c r="I6" s="1"/>
    </row>
    <row r="7" spans="1:9" ht="15" customHeight="1" x14ac:dyDescent="0.25">
      <c r="A7" s="1"/>
      <c r="B7" s="1"/>
      <c r="C7" s="3"/>
      <c r="D7" s="103"/>
      <c r="E7" s="103"/>
      <c r="F7" s="103"/>
      <c r="G7" s="103"/>
      <c r="H7" s="3"/>
      <c r="I7" s="1"/>
    </row>
    <row r="8" spans="1:9" ht="15.75" x14ac:dyDescent="0.25">
      <c r="A8" s="1"/>
      <c r="B8" s="1"/>
      <c r="C8" s="4"/>
      <c r="D8" s="111" t="s">
        <v>227</v>
      </c>
      <c r="E8" s="111"/>
      <c r="F8" s="111"/>
      <c r="G8" s="111"/>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0" t="s">
        <v>5</v>
      </c>
      <c r="E11" s="110"/>
      <c r="F11" s="110"/>
      <c r="G11" s="110"/>
      <c r="H11" s="5"/>
      <c r="I11" s="1"/>
    </row>
    <row r="12" spans="1:9" x14ac:dyDescent="0.25">
      <c r="A12" s="1"/>
      <c r="B12" s="1"/>
      <c r="C12" s="1"/>
      <c r="D12" s="1"/>
      <c r="E12" s="1"/>
      <c r="F12" s="1"/>
      <c r="G12" s="1"/>
      <c r="H12" s="5"/>
      <c r="I12" s="1"/>
    </row>
    <row r="13" spans="1:9" x14ac:dyDescent="0.25">
      <c r="A13" s="1"/>
      <c r="B13" s="1"/>
      <c r="C13" s="6" t="s">
        <v>6</v>
      </c>
      <c r="D13" s="115" t="s">
        <v>169</v>
      </c>
      <c r="E13" s="116"/>
      <c r="F13" s="116"/>
      <c r="G13" s="117"/>
      <c r="H13" s="5"/>
      <c r="I13" s="1"/>
    </row>
    <row r="14" spans="1:9" x14ac:dyDescent="0.25">
      <c r="A14" s="1"/>
      <c r="B14" s="1"/>
      <c r="C14" s="6" t="s">
        <v>16</v>
      </c>
      <c r="D14" s="100" t="s">
        <v>237</v>
      </c>
      <c r="E14" s="101"/>
      <c r="F14" s="101"/>
      <c r="G14" s="102"/>
      <c r="H14" s="5"/>
      <c r="I14" s="1"/>
    </row>
    <row r="15" spans="1:9" x14ac:dyDescent="0.25">
      <c r="A15" s="1"/>
      <c r="B15" s="1"/>
      <c r="C15" s="6" t="s">
        <v>34</v>
      </c>
      <c r="D15" s="100" t="s">
        <v>170</v>
      </c>
      <c r="E15" s="101"/>
      <c r="F15" s="101"/>
      <c r="G15" s="102"/>
      <c r="H15" s="5"/>
      <c r="I15" s="1"/>
    </row>
    <row r="16" spans="1:9" x14ac:dyDescent="0.25">
      <c r="A16" s="1"/>
      <c r="B16" s="1"/>
      <c r="C16" s="6" t="s">
        <v>35</v>
      </c>
      <c r="D16" s="100" t="s">
        <v>183</v>
      </c>
      <c r="E16" s="101"/>
      <c r="F16" s="101"/>
      <c r="G16" s="102"/>
      <c r="H16" s="5"/>
      <c r="I16" s="1"/>
    </row>
    <row r="17" spans="1:9" x14ac:dyDescent="0.25">
      <c r="A17" s="1"/>
      <c r="B17" s="1"/>
      <c r="C17" s="6" t="s">
        <v>119</v>
      </c>
      <c r="D17" s="100" t="s">
        <v>184</v>
      </c>
      <c r="E17" s="101"/>
      <c r="F17" s="101"/>
      <c r="G17" s="102"/>
      <c r="H17" s="5"/>
      <c r="I17" s="1"/>
    </row>
    <row r="18" spans="1:9" x14ac:dyDescent="0.25">
      <c r="A18" s="1"/>
      <c r="B18" s="1"/>
      <c r="C18" s="6" t="s">
        <v>106</v>
      </c>
      <c r="D18" s="112" t="s">
        <v>95</v>
      </c>
      <c r="E18" s="113"/>
      <c r="F18" s="113"/>
      <c r="G18" s="114"/>
      <c r="H18" s="5"/>
      <c r="I18" s="1"/>
    </row>
    <row r="19" spans="1:9" x14ac:dyDescent="0.25">
      <c r="A19" s="1"/>
      <c r="B19" s="1"/>
      <c r="C19" s="6" t="s">
        <v>107</v>
      </c>
      <c r="D19" s="112" t="s">
        <v>96</v>
      </c>
      <c r="E19" s="113"/>
      <c r="F19" s="113"/>
      <c r="G19" s="114"/>
      <c r="H19" s="5"/>
      <c r="I19" s="1"/>
    </row>
    <row r="20" spans="1:9" x14ac:dyDescent="0.25">
      <c r="A20" s="1"/>
      <c r="B20" s="1"/>
      <c r="C20" s="6" t="s">
        <v>7</v>
      </c>
      <c r="D20" s="112" t="s">
        <v>10</v>
      </c>
      <c r="E20" s="113"/>
      <c r="F20" s="113"/>
      <c r="G20" s="114"/>
      <c r="H20" s="5"/>
      <c r="I20" s="1"/>
    </row>
    <row r="21" spans="1:9" x14ac:dyDescent="0.25">
      <c r="A21" s="1"/>
      <c r="B21" s="1"/>
      <c r="C21" s="6" t="s">
        <v>108</v>
      </c>
      <c r="D21" s="104" t="s">
        <v>12</v>
      </c>
      <c r="E21" s="105"/>
      <c r="F21" s="105"/>
      <c r="G21" s="106"/>
      <c r="H21" s="5"/>
      <c r="I21" s="1"/>
    </row>
    <row r="22" spans="1:9" x14ac:dyDescent="0.25">
      <c r="A22" s="1"/>
      <c r="B22" s="1"/>
      <c r="C22" s="6" t="s">
        <v>83</v>
      </c>
      <c r="D22" s="107" t="s">
        <v>185</v>
      </c>
      <c r="E22" s="108"/>
      <c r="F22" s="108"/>
      <c r="G22" s="109"/>
      <c r="H22" s="5"/>
      <c r="I22" s="1"/>
    </row>
    <row r="23" spans="1:9" x14ac:dyDescent="0.25">
      <c r="A23" s="1"/>
      <c r="B23" s="1"/>
      <c r="C23" s="6" t="s">
        <v>8</v>
      </c>
      <c r="D23" s="107" t="s">
        <v>255</v>
      </c>
      <c r="E23" s="108"/>
      <c r="F23" s="108"/>
      <c r="G23" s="109"/>
      <c r="H23" s="5"/>
      <c r="I23" s="1"/>
    </row>
    <row r="24" spans="1:9" x14ac:dyDescent="0.25">
      <c r="A24" s="1"/>
      <c r="B24" s="1"/>
      <c r="C24" s="6" t="s">
        <v>9</v>
      </c>
      <c r="D24" s="107" t="s">
        <v>186</v>
      </c>
      <c r="E24" s="108"/>
      <c r="F24" s="108"/>
      <c r="G24" s="109"/>
      <c r="H24" s="5"/>
      <c r="I24" s="1"/>
    </row>
    <row r="25" spans="1:9" x14ac:dyDescent="0.25">
      <c r="A25" s="1"/>
      <c r="B25" s="1"/>
      <c r="C25" s="6" t="s">
        <v>248</v>
      </c>
      <c r="D25" s="107" t="s">
        <v>239</v>
      </c>
      <c r="E25" s="108"/>
      <c r="F25" s="108"/>
      <c r="G25" s="109"/>
      <c r="H25" s="1"/>
      <c r="I25" s="1"/>
    </row>
    <row r="26" spans="1:9" x14ac:dyDescent="0.25">
      <c r="A26" s="1"/>
      <c r="B26" s="1"/>
      <c r="C26" s="6" t="s">
        <v>249</v>
      </c>
      <c r="D26" s="107" t="s">
        <v>84</v>
      </c>
      <c r="E26" s="108"/>
      <c r="F26" s="108"/>
      <c r="G26" s="109"/>
      <c r="H26" s="1"/>
      <c r="I26" s="1"/>
    </row>
    <row r="27" spans="1:9" x14ac:dyDescent="0.25">
      <c r="A27" s="1"/>
      <c r="B27" s="1"/>
      <c r="C27" s="6" t="s">
        <v>250</v>
      </c>
      <c r="D27" s="107" t="s">
        <v>85</v>
      </c>
      <c r="E27" s="108"/>
      <c r="F27" s="108"/>
      <c r="G27" s="109"/>
      <c r="H27" s="1"/>
      <c r="I27" s="1"/>
    </row>
    <row r="28" spans="1:9" x14ac:dyDescent="0.25">
      <c r="A28" s="1"/>
      <c r="B28" s="1"/>
      <c r="C28" s="6" t="s">
        <v>15</v>
      </c>
      <c r="D28" s="107" t="s">
        <v>86</v>
      </c>
      <c r="E28" s="108"/>
      <c r="F28" s="108"/>
      <c r="G28" s="109"/>
      <c r="H28" s="1"/>
      <c r="I28" s="1"/>
    </row>
    <row r="29" spans="1:9" x14ac:dyDescent="0.25">
      <c r="A29" s="1"/>
      <c r="B29" s="1"/>
      <c r="C29" s="6" t="s">
        <v>37</v>
      </c>
      <c r="D29" s="107" t="s">
        <v>134</v>
      </c>
      <c r="E29" s="108"/>
      <c r="F29" s="108"/>
      <c r="G29" s="109"/>
      <c r="H29" s="1"/>
      <c r="I29" s="1"/>
    </row>
    <row r="30" spans="1:9" x14ac:dyDescent="0.25">
      <c r="A30" s="1"/>
      <c r="B30" s="1"/>
      <c r="C30" s="6" t="s">
        <v>38</v>
      </c>
      <c r="D30" s="107" t="s">
        <v>36</v>
      </c>
      <c r="E30" s="108"/>
      <c r="F30" s="108"/>
      <c r="G30" s="109"/>
      <c r="H30" s="1"/>
      <c r="I30" s="1"/>
    </row>
    <row r="31" spans="1:9" x14ac:dyDescent="0.25">
      <c r="A31" s="1"/>
      <c r="B31" s="1"/>
      <c r="C31" s="6" t="s">
        <v>251</v>
      </c>
      <c r="D31" s="118" t="s">
        <v>105</v>
      </c>
      <c r="E31" s="119"/>
      <c r="F31" s="119"/>
      <c r="G31" s="120"/>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BqHc2hpeaz2+PIJ/Npj7HMAh3P6s6BOGV7+jpadOJk2FxGrmirInhasw3rUiBuNSXeZYgcXUnkyhGpnBr7vuoQ==" saltValue="xayQttLl1isg2ytXR7hX2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1" t="s">
        <v>111</v>
      </c>
      <c r="C3" s="121"/>
      <c r="D3" s="121"/>
      <c r="E3" s="1"/>
      <c r="F3" s="1"/>
    </row>
    <row r="4" spans="1:6" ht="15" customHeight="1" x14ac:dyDescent="0.25">
      <c r="A4" s="1"/>
      <c r="B4" s="121"/>
      <c r="C4" s="121"/>
      <c r="D4" s="12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9" t="s">
        <v>200</v>
      </c>
      <c r="C8" s="130"/>
      <c r="D8" s="131"/>
      <c r="E8" s="1"/>
      <c r="F8" s="1"/>
    </row>
    <row r="9" spans="1:6" ht="15" customHeight="1" x14ac:dyDescent="0.25">
      <c r="A9" s="1"/>
      <c r="B9" s="27" t="s">
        <v>32</v>
      </c>
      <c r="C9" s="62" t="s">
        <v>242</v>
      </c>
      <c r="D9" s="11"/>
      <c r="E9" s="1"/>
      <c r="F9" s="1"/>
    </row>
    <row r="10" spans="1:6" x14ac:dyDescent="0.25">
      <c r="A10" s="1"/>
      <c r="B10" s="93" t="s">
        <v>268</v>
      </c>
      <c r="C10" s="9">
        <v>3908175</v>
      </c>
      <c r="D10" s="14" t="s">
        <v>3</v>
      </c>
      <c r="E10" s="1"/>
      <c r="F10" s="1"/>
    </row>
    <row r="11" spans="1:6" x14ac:dyDescent="0.25">
      <c r="A11" s="1"/>
      <c r="B11" s="93" t="s">
        <v>269</v>
      </c>
      <c r="C11" s="9">
        <v>310825</v>
      </c>
      <c r="D11" s="14" t="s">
        <v>3</v>
      </c>
      <c r="E11" s="1"/>
      <c r="F11" s="1"/>
    </row>
    <row r="12" spans="1:6" x14ac:dyDescent="0.25">
      <c r="A12" s="1"/>
      <c r="B12" s="93" t="s">
        <v>270</v>
      </c>
      <c r="C12" s="9">
        <v>1286761</v>
      </c>
      <c r="D12" s="14" t="s">
        <v>3</v>
      </c>
      <c r="E12" s="1"/>
      <c r="F12" s="1"/>
    </row>
    <row r="13" spans="1:6" x14ac:dyDescent="0.25">
      <c r="A13" s="1"/>
      <c r="B13" s="93" t="s">
        <v>271</v>
      </c>
      <c r="C13" s="9">
        <v>389548</v>
      </c>
      <c r="D13" s="14" t="s">
        <v>3</v>
      </c>
      <c r="E13" s="1"/>
      <c r="F13" s="1"/>
    </row>
    <row r="14" spans="1:6" x14ac:dyDescent="0.25">
      <c r="A14" s="1"/>
      <c r="B14" s="93" t="s">
        <v>272</v>
      </c>
      <c r="C14" s="9">
        <v>1287438.07</v>
      </c>
      <c r="D14" s="14" t="s">
        <v>3</v>
      </c>
      <c r="E14" s="1"/>
      <c r="F14" s="1"/>
    </row>
    <row r="15" spans="1:6" x14ac:dyDescent="0.25">
      <c r="A15" s="1"/>
      <c r="B15" s="33" t="s">
        <v>201</v>
      </c>
      <c r="C15" s="12">
        <f>SUM(C10:C14)</f>
        <v>7182747.0700000003</v>
      </c>
      <c r="D15" s="13" t="s">
        <v>3</v>
      </c>
      <c r="E15" s="1"/>
      <c r="F15" s="1"/>
    </row>
    <row r="16" spans="1:6" x14ac:dyDescent="0.25">
      <c r="A16" s="1"/>
      <c r="B16" s="33" t="s">
        <v>202</v>
      </c>
      <c r="C16" s="12">
        <f>C15*(1+'Fane 15. Nøgletal'!C15)^2</f>
        <v>7703261.7877106359</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29" t="s">
        <v>117</v>
      </c>
      <c r="C19" s="130"/>
      <c r="D19" s="131"/>
      <c r="E19" s="1"/>
      <c r="F19" s="1"/>
    </row>
    <row r="20" spans="1:6" x14ac:dyDescent="0.25">
      <c r="A20" s="1"/>
      <c r="B20" s="93" t="s">
        <v>99</v>
      </c>
      <c r="C20" s="9">
        <v>0</v>
      </c>
      <c r="D20" s="14" t="s">
        <v>3</v>
      </c>
      <c r="E20" s="1"/>
      <c r="F20" s="1"/>
    </row>
    <row r="21" spans="1:6" x14ac:dyDescent="0.25">
      <c r="A21" s="1"/>
      <c r="B21" s="93" t="s">
        <v>129</v>
      </c>
      <c r="C21" s="9">
        <v>0</v>
      </c>
      <c r="D21" s="14" t="s">
        <v>3</v>
      </c>
      <c r="E21" s="1"/>
      <c r="F21" s="1"/>
    </row>
    <row r="22" spans="1:6" x14ac:dyDescent="0.25">
      <c r="A22" s="1"/>
      <c r="B22" s="93" t="s">
        <v>155</v>
      </c>
      <c r="C22" s="9">
        <v>0</v>
      </c>
      <c r="D22" s="14" t="s">
        <v>3</v>
      </c>
      <c r="E22" s="1"/>
      <c r="F22" s="1"/>
    </row>
    <row r="23" spans="1:6" x14ac:dyDescent="0.25">
      <c r="A23" s="1"/>
      <c r="B23" s="34" t="s">
        <v>203</v>
      </c>
      <c r="C23" s="9">
        <v>0</v>
      </c>
      <c r="D23" s="41" t="s">
        <v>3</v>
      </c>
      <c r="E23" s="1"/>
      <c r="F23" s="1"/>
    </row>
    <row r="24" spans="1:6" x14ac:dyDescent="0.25">
      <c r="A24" s="1"/>
      <c r="B24" s="129"/>
      <c r="C24" s="130"/>
      <c r="D24" s="131"/>
      <c r="E24" s="1"/>
      <c r="F24" s="1"/>
    </row>
    <row r="25" spans="1:6" x14ac:dyDescent="0.25">
      <c r="A25" s="1"/>
      <c r="B25" s="1"/>
      <c r="C25" s="1"/>
      <c r="D25" s="1"/>
      <c r="E25" s="1"/>
      <c r="F25" s="1"/>
    </row>
    <row r="26" spans="1:6" x14ac:dyDescent="0.25">
      <c r="A26" s="1"/>
      <c r="B26" s="1"/>
      <c r="C26" s="1"/>
      <c r="D26" s="1"/>
      <c r="E26" s="1"/>
      <c r="F26" s="1"/>
    </row>
    <row r="27" spans="1:6" x14ac:dyDescent="0.25">
      <c r="A27" s="1"/>
      <c r="B27" s="129" t="s">
        <v>98</v>
      </c>
      <c r="C27" s="130"/>
      <c r="D27" s="131"/>
      <c r="E27" s="1"/>
      <c r="F27" s="1"/>
    </row>
    <row r="28" spans="1:6" x14ac:dyDescent="0.25">
      <c r="A28" s="1"/>
      <c r="B28" s="93" t="s">
        <v>99</v>
      </c>
      <c r="C28" s="9">
        <v>0</v>
      </c>
      <c r="D28" s="14" t="s">
        <v>3</v>
      </c>
      <c r="E28" s="1"/>
      <c r="F28" s="1"/>
    </row>
    <row r="29" spans="1:6" x14ac:dyDescent="0.25">
      <c r="A29" s="1"/>
      <c r="B29" s="93" t="s">
        <v>129</v>
      </c>
      <c r="C29" s="9">
        <v>0</v>
      </c>
      <c r="D29" s="14" t="s">
        <v>3</v>
      </c>
      <c r="E29" s="1"/>
      <c r="F29" s="1"/>
    </row>
    <row r="30" spans="1:6" x14ac:dyDescent="0.25">
      <c r="A30" s="1"/>
      <c r="B30" s="93" t="s">
        <v>155</v>
      </c>
      <c r="C30" s="9">
        <v>0</v>
      </c>
      <c r="D30" s="14" t="s">
        <v>3</v>
      </c>
      <c r="E30" s="1"/>
      <c r="F30" s="1"/>
    </row>
    <row r="31" spans="1:6" x14ac:dyDescent="0.25">
      <c r="A31" s="1"/>
      <c r="B31" s="34" t="s">
        <v>203</v>
      </c>
      <c r="C31" s="9">
        <v>0</v>
      </c>
      <c r="D31" s="41" t="s">
        <v>3</v>
      </c>
      <c r="E31" s="1"/>
      <c r="F31" s="1"/>
    </row>
    <row r="32" spans="1:6" x14ac:dyDescent="0.25">
      <c r="A32" s="1"/>
      <c r="B32" s="129"/>
      <c r="C32" s="130"/>
      <c r="D32" s="13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53"/>
      <c r="B49" s="53"/>
      <c r="C49" s="53"/>
      <c r="D49" s="53"/>
      <c r="E49" s="53"/>
      <c r="F49" s="53"/>
    </row>
    <row r="50" spans="1:6" x14ac:dyDescent="0.25">
      <c r="A50" s="53"/>
      <c r="B50" s="53"/>
      <c r="C50" s="53"/>
      <c r="D50" s="53"/>
      <c r="E50" s="53"/>
      <c r="F50" s="53"/>
    </row>
    <row r="51" spans="1:6" x14ac:dyDescent="0.25">
      <c r="A51" s="53"/>
      <c r="B51" s="53"/>
      <c r="C51" s="53"/>
      <c r="D51" s="53"/>
      <c r="E51" s="53"/>
      <c r="F51" s="53"/>
    </row>
    <row r="52" spans="1:6" x14ac:dyDescent="0.25">
      <c r="A52" s="53"/>
      <c r="B52" s="53"/>
      <c r="C52" s="53"/>
      <c r="D52" s="53"/>
      <c r="E52" s="53"/>
      <c r="F52" s="53"/>
    </row>
  </sheetData>
  <sheetProtection algorithmName="SHA-512" hashValue="qErm9sk3kq4Y3aNxKQfjG0huYwfma0QPqpnlyDEvgH3dmYHQO6ZjMjGnE5Iyi9x3+WnA+2Pnq0MKdj4C6UfqDQ==" saltValue="ZOkPtm4Yg+rlmbX2+dsSAg=="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Normal="100" workbookViewId="0"/>
  </sheetViews>
  <sheetFormatPr defaultColWidth="9.140625" defaultRowHeight="15" x14ac:dyDescent="0.25"/>
  <cols>
    <col min="1" max="1" width="3.5703125" style="2" customWidth="1"/>
    <col min="2" max="3" width="9.140625" style="2"/>
    <col min="4" max="4" width="42" style="2" customWidth="1"/>
    <col min="5" max="5" width="15.42578125" style="2"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7" t="s">
        <v>204</v>
      </c>
      <c r="C3" s="137"/>
      <c r="D3" s="137"/>
      <c r="E3" s="137"/>
      <c r="F3" s="137"/>
      <c r="G3" s="1"/>
    </row>
    <row r="4" spans="1:7" ht="15" customHeight="1" x14ac:dyDescent="0.25">
      <c r="A4" s="1"/>
      <c r="B4" s="137"/>
      <c r="C4" s="137"/>
      <c r="D4" s="137"/>
      <c r="E4" s="137"/>
      <c r="F4" s="137"/>
      <c r="G4" s="1"/>
    </row>
    <row r="5" spans="1:7" ht="15" customHeight="1" x14ac:dyDescent="0.25">
      <c r="A5" s="1"/>
      <c r="B5" s="81"/>
      <c r="C5" s="81"/>
      <c r="D5" s="81"/>
      <c r="E5" s="81"/>
      <c r="F5" s="81"/>
      <c r="G5" s="1"/>
    </row>
    <row r="6" spans="1:7" ht="15" customHeight="1" x14ac:dyDescent="0.25">
      <c r="A6" s="1"/>
      <c r="B6" s="81"/>
      <c r="C6" s="81"/>
      <c r="D6" s="81"/>
      <c r="E6" s="81"/>
      <c r="F6" s="81"/>
      <c r="G6" s="1"/>
    </row>
    <row r="7" spans="1:7" x14ac:dyDescent="0.25">
      <c r="A7" s="1"/>
      <c r="B7" s="1"/>
      <c r="C7" s="1"/>
      <c r="D7" s="1"/>
      <c r="E7" s="1"/>
      <c r="F7" s="1"/>
      <c r="G7" s="1"/>
    </row>
    <row r="8" spans="1:7" x14ac:dyDescent="0.25">
      <c r="A8" s="1"/>
      <c r="B8" s="129" t="s">
        <v>178</v>
      </c>
      <c r="C8" s="130"/>
      <c r="D8" s="130"/>
      <c r="E8" s="130"/>
      <c r="F8" s="131"/>
      <c r="G8" s="1"/>
    </row>
    <row r="9" spans="1:7" x14ac:dyDescent="0.25">
      <c r="A9" s="1"/>
      <c r="B9" s="138" t="s">
        <v>205</v>
      </c>
      <c r="C9" s="139"/>
      <c r="D9" s="140"/>
      <c r="E9" s="9">
        <v>-3672520.80384624</v>
      </c>
      <c r="F9" s="14" t="s">
        <v>3</v>
      </c>
      <c r="G9" s="1"/>
    </row>
    <row r="10" spans="1:7" x14ac:dyDescent="0.25">
      <c r="A10" s="1"/>
      <c r="B10" s="138" t="s">
        <v>265</v>
      </c>
      <c r="C10" s="139"/>
      <c r="D10" s="140"/>
      <c r="E10" s="9">
        <v>0</v>
      </c>
      <c r="F10" s="14" t="s">
        <v>3</v>
      </c>
      <c r="G10" s="1"/>
    </row>
    <row r="11" spans="1:7" x14ac:dyDescent="0.25">
      <c r="A11" s="1"/>
      <c r="B11" s="33"/>
      <c r="C11" s="28"/>
      <c r="D11" s="28"/>
      <c r="E11" s="28"/>
      <c r="F11" s="19"/>
      <c r="G11" s="1"/>
    </row>
    <row r="12" spans="1:7" ht="67.5" customHeight="1" x14ac:dyDescent="0.25">
      <c r="A12" s="1"/>
      <c r="B12" s="132" t="s">
        <v>266</v>
      </c>
      <c r="C12" s="133"/>
      <c r="D12" s="133"/>
      <c r="E12" s="133"/>
      <c r="F12" s="134"/>
      <c r="G12" s="1"/>
    </row>
    <row r="13" spans="1:7" ht="27" customHeight="1" x14ac:dyDescent="0.25">
      <c r="A13" s="1"/>
      <c r="B13" s="1"/>
      <c r="C13" s="1"/>
      <c r="D13" s="1"/>
      <c r="E13" s="1"/>
      <c r="F13" s="1"/>
      <c r="G13" s="1"/>
    </row>
    <row r="14" spans="1:7" ht="28.5" customHeight="1" x14ac:dyDescent="0.25">
      <c r="A14" s="1"/>
      <c r="B14" s="129" t="s">
        <v>179</v>
      </c>
      <c r="C14" s="130"/>
      <c r="D14" s="130"/>
      <c r="E14" s="130"/>
      <c r="F14" s="131"/>
      <c r="G14" s="1"/>
    </row>
    <row r="15" spans="1:7" x14ac:dyDescent="0.25">
      <c r="A15" s="1"/>
      <c r="B15" s="138" t="s">
        <v>291</v>
      </c>
      <c r="C15" s="139"/>
      <c r="D15" s="140"/>
      <c r="E15" s="9">
        <v>0</v>
      </c>
      <c r="F15" s="14" t="s">
        <v>3</v>
      </c>
      <c r="G15" s="1"/>
    </row>
    <row r="16" spans="1:7" x14ac:dyDescent="0.25">
      <c r="A16" s="1"/>
      <c r="B16" s="138" t="s">
        <v>292</v>
      </c>
      <c r="C16" s="139"/>
      <c r="D16" s="140"/>
      <c r="E16" s="9">
        <v>0</v>
      </c>
      <c r="F16" s="14" t="s">
        <v>3</v>
      </c>
      <c r="G16" s="1"/>
    </row>
    <row r="17" spans="1:7" x14ac:dyDescent="0.25">
      <c r="A17" s="1"/>
      <c r="B17" s="33"/>
      <c r="C17" s="28"/>
      <c r="D17" s="28"/>
      <c r="E17" s="28"/>
      <c r="F17" s="19"/>
      <c r="G17" s="1"/>
    </row>
    <row r="18" spans="1:7" ht="31.5" customHeight="1" x14ac:dyDescent="0.25">
      <c r="A18" s="1"/>
      <c r="B18" s="132" t="s">
        <v>180</v>
      </c>
      <c r="C18" s="133"/>
      <c r="D18" s="133"/>
      <c r="E18" s="133"/>
      <c r="F18" s="134"/>
      <c r="G18" s="1"/>
    </row>
    <row r="19" spans="1:7" ht="28.5" customHeight="1" x14ac:dyDescent="0.25">
      <c r="A19" s="1"/>
      <c r="B19" s="1"/>
      <c r="C19" s="1"/>
      <c r="D19" s="1"/>
      <c r="E19" s="1"/>
      <c r="F19" s="1"/>
      <c r="G19" s="1"/>
    </row>
    <row r="20" spans="1:7" ht="28.5" customHeight="1" x14ac:dyDescent="0.25">
      <c r="A20" s="1"/>
      <c r="B20" s="85" t="s">
        <v>206</v>
      </c>
      <c r="C20" s="86"/>
      <c r="D20" s="86"/>
      <c r="E20" s="86"/>
      <c r="F20" s="87"/>
      <c r="G20" s="1"/>
    </row>
    <row r="21" spans="1:7" x14ac:dyDescent="0.25">
      <c r="A21" s="1"/>
      <c r="B21" s="90" t="s">
        <v>207</v>
      </c>
      <c r="C21" s="91"/>
      <c r="D21" s="92"/>
      <c r="E21" s="9">
        <v>261206778.71914306</v>
      </c>
      <c r="F21" s="14" t="s">
        <v>3</v>
      </c>
      <c r="G21" s="1"/>
    </row>
    <row r="22" spans="1:7" x14ac:dyDescent="0.25">
      <c r="A22" s="1"/>
      <c r="B22" s="90" t="s">
        <v>208</v>
      </c>
      <c r="C22" s="91"/>
      <c r="D22" s="92"/>
      <c r="E22" s="9">
        <v>272552896</v>
      </c>
      <c r="F22" s="14" t="s">
        <v>3</v>
      </c>
      <c r="G22" s="1"/>
    </row>
    <row r="23" spans="1:7" x14ac:dyDescent="0.25">
      <c r="A23" s="1"/>
      <c r="B23" s="90" t="s">
        <v>33</v>
      </c>
      <c r="C23" s="91"/>
      <c r="D23" s="92"/>
      <c r="E23" s="9">
        <v>0</v>
      </c>
      <c r="F23" s="14" t="s">
        <v>3</v>
      </c>
      <c r="G23" s="1"/>
    </row>
    <row r="24" spans="1:7" x14ac:dyDescent="0.25">
      <c r="A24" s="1"/>
      <c r="B24" s="88" t="s">
        <v>273</v>
      </c>
      <c r="C24" s="89"/>
      <c r="D24" s="97"/>
      <c r="E24" s="77">
        <f>E21-(E22-E23)</f>
        <v>-11346117.280856937</v>
      </c>
      <c r="F24" s="17" t="s">
        <v>3</v>
      </c>
      <c r="G24" s="1"/>
    </row>
    <row r="25" spans="1:7" x14ac:dyDescent="0.25">
      <c r="A25" s="1"/>
      <c r="B25" s="33"/>
      <c r="C25" s="28"/>
      <c r="D25" s="28"/>
      <c r="E25" s="28"/>
      <c r="F25" s="19"/>
      <c r="G25" s="1"/>
    </row>
    <row r="26" spans="1:7" x14ac:dyDescent="0.25">
      <c r="A26" s="1"/>
      <c r="B26" s="1"/>
      <c r="C26" s="1"/>
      <c r="D26" s="1"/>
      <c r="E26" s="1"/>
      <c r="F26" s="1"/>
      <c r="G26" s="1"/>
    </row>
    <row r="27" spans="1:7" x14ac:dyDescent="0.25">
      <c r="A27" s="1"/>
      <c r="B27" s="129" t="s">
        <v>293</v>
      </c>
      <c r="C27" s="130"/>
      <c r="D27" s="130"/>
      <c r="E27" s="130"/>
      <c r="F27" s="131"/>
      <c r="G27" s="1"/>
    </row>
    <row r="28" spans="1:7" x14ac:dyDescent="0.25">
      <c r="A28" s="1"/>
      <c r="B28" s="135" t="s">
        <v>294</v>
      </c>
      <c r="C28" s="136"/>
      <c r="D28" s="157"/>
      <c r="E28" s="78">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29"/>
      <c r="C29" s="130"/>
      <c r="D29" s="130"/>
      <c r="E29" s="130"/>
      <c r="F29" s="131"/>
      <c r="G29" s="1"/>
    </row>
    <row r="30" spans="1:7" x14ac:dyDescent="0.25">
      <c r="A30" s="1"/>
      <c r="B30" s="1"/>
      <c r="C30" s="1"/>
      <c r="D30" s="1"/>
      <c r="E30" s="1"/>
      <c r="F30" s="1"/>
      <c r="G30" s="1"/>
    </row>
    <row r="31" spans="1:7" ht="28.5" customHeight="1" x14ac:dyDescent="0.25">
      <c r="A31" s="1"/>
      <c r="B31" s="129" t="s">
        <v>267</v>
      </c>
      <c r="C31" s="130"/>
      <c r="D31" s="130"/>
      <c r="E31" s="130"/>
      <c r="F31" s="131"/>
      <c r="G31" s="1"/>
    </row>
    <row r="32" spans="1:7" x14ac:dyDescent="0.25">
      <c r="A32" s="1"/>
      <c r="B32" s="150" t="s">
        <v>143</v>
      </c>
      <c r="C32" s="151"/>
      <c r="D32" s="152"/>
      <c r="E32" s="79">
        <f>IF(AND(E9&gt;0,(E9+E24)&gt;0),0,IF(AND(E9&gt;0,(E9+E24)&lt;0),(E9+E24),IF(AND(E9&lt;0,E24&lt;0),E24,0)))</f>
        <v>-11346117.280856937</v>
      </c>
      <c r="F32" s="14" t="s">
        <v>3</v>
      </c>
      <c r="G32" s="1"/>
    </row>
    <row r="33" spans="1:7" x14ac:dyDescent="0.25">
      <c r="A33" s="1"/>
      <c r="B33" s="150" t="s">
        <v>102</v>
      </c>
      <c r="C33" s="151"/>
      <c r="D33" s="152"/>
      <c r="E33" s="9">
        <v>4</v>
      </c>
      <c r="F33" s="14" t="s">
        <v>20</v>
      </c>
      <c r="G33" s="1"/>
    </row>
    <row r="34" spans="1:7" x14ac:dyDescent="0.25">
      <c r="A34" s="1"/>
      <c r="B34" s="153" t="s">
        <v>144</v>
      </c>
      <c r="C34" s="153"/>
      <c r="D34" s="153"/>
      <c r="E34" s="78">
        <f>E32/E33</f>
        <v>-2836529.3202142343</v>
      </c>
      <c r="F34" s="17" t="s">
        <v>3</v>
      </c>
      <c r="G34" s="1"/>
    </row>
    <row r="35" spans="1:7" x14ac:dyDescent="0.25">
      <c r="A35" s="1"/>
      <c r="B35" s="154"/>
      <c r="C35" s="155"/>
      <c r="D35" s="155"/>
      <c r="E35" s="155"/>
      <c r="F35" s="156"/>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B41" s="53"/>
      <c r="C41" s="53"/>
      <c r="D41" s="53"/>
      <c r="E41" s="53"/>
      <c r="F41" s="53"/>
    </row>
    <row r="42" spans="1:7" x14ac:dyDescent="0.25">
      <c r="A42" s="53"/>
      <c r="B42" s="53"/>
      <c r="C42" s="53"/>
      <c r="D42" s="53"/>
      <c r="E42" s="53"/>
      <c r="F42" s="53"/>
      <c r="G42" s="53"/>
    </row>
    <row r="43" spans="1:7" x14ac:dyDescent="0.25">
      <c r="A43" s="53"/>
      <c r="B43" s="53"/>
      <c r="C43" s="53"/>
      <c r="D43" s="53"/>
      <c r="E43" s="53"/>
      <c r="F43" s="53"/>
      <c r="G43" s="53"/>
    </row>
  </sheetData>
  <sheetProtection algorithmName="SHA-512" hashValue="rMoTNFCens55XK+fV3xLtHzZi2r5xeQHrdpn4MwHOVdR0RmEjloe10cVHOkNE3w9Das13tzn4hfgIr3l6mVnbQ==" saltValue="RHA7FIULxiurnu0HoI6lwg=="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73" customWidth="1"/>
    <col min="2" max="2" width="22.5703125" style="73" customWidth="1"/>
    <col min="3" max="3" width="8.28515625" style="73" customWidth="1"/>
    <col min="4" max="6" width="10.7109375" style="73" customWidth="1"/>
    <col min="7" max="7" width="11.140625" style="73" customWidth="1"/>
    <col min="8" max="8" width="3.28515625" style="73" customWidth="1"/>
    <col min="9" max="9" width="4.85546875" style="73" customWidth="1"/>
    <col min="10" max="16384" width="9.140625" style="73"/>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1" t="s">
        <v>252</v>
      </c>
      <c r="C3" s="121"/>
      <c r="D3" s="121"/>
      <c r="E3" s="121"/>
      <c r="F3" s="121"/>
      <c r="G3" s="121"/>
      <c r="H3" s="121"/>
      <c r="I3" s="1"/>
    </row>
    <row r="4" spans="1:9" ht="15" customHeight="1" x14ac:dyDescent="0.25">
      <c r="A4" s="1"/>
      <c r="B4" s="121"/>
      <c r="C4" s="121"/>
      <c r="D4" s="121"/>
      <c r="E4" s="121"/>
      <c r="F4" s="121"/>
      <c r="G4" s="121"/>
      <c r="H4" s="12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9" t="s">
        <v>264</v>
      </c>
      <c r="C8" s="130"/>
      <c r="D8" s="130"/>
      <c r="E8" s="130"/>
      <c r="F8" s="130"/>
      <c r="G8" s="130"/>
      <c r="H8" s="131"/>
      <c r="I8" s="1"/>
    </row>
    <row r="9" spans="1:9" ht="15" customHeight="1" x14ac:dyDescent="0.25">
      <c r="A9" s="1"/>
      <c r="B9" s="126" t="s">
        <v>253</v>
      </c>
      <c r="C9" s="127"/>
      <c r="D9" s="127"/>
      <c r="E9" s="127"/>
      <c r="F9" s="127"/>
      <c r="G9" s="127"/>
      <c r="H9" s="128"/>
      <c r="I9" s="1"/>
    </row>
    <row r="10" spans="1:9" x14ac:dyDescent="0.25">
      <c r="A10" s="1"/>
      <c r="B10" s="158" t="s">
        <v>276</v>
      </c>
      <c r="C10" s="159"/>
      <c r="D10" s="159"/>
      <c r="E10" s="159"/>
      <c r="F10" s="160"/>
      <c r="G10" s="9">
        <v>0</v>
      </c>
      <c r="H10" s="9" t="s">
        <v>3</v>
      </c>
      <c r="I10" s="1"/>
    </row>
    <row r="11" spans="1:9" x14ac:dyDescent="0.25">
      <c r="A11" s="1"/>
      <c r="B11" s="158" t="s">
        <v>277</v>
      </c>
      <c r="C11" s="159"/>
      <c r="D11" s="159"/>
      <c r="E11" s="159"/>
      <c r="F11" s="160"/>
      <c r="G11" s="9">
        <v>0</v>
      </c>
      <c r="H11" s="9" t="s">
        <v>3</v>
      </c>
      <c r="I11" s="1"/>
    </row>
    <row r="12" spans="1:9" x14ac:dyDescent="0.25">
      <c r="A12" s="1"/>
      <c r="B12" s="158" t="s">
        <v>278</v>
      </c>
      <c r="C12" s="159"/>
      <c r="D12" s="159"/>
      <c r="E12" s="159"/>
      <c r="F12" s="160"/>
      <c r="G12" s="9">
        <v>0</v>
      </c>
      <c r="H12" s="9" t="s">
        <v>3</v>
      </c>
      <c r="I12" s="1"/>
    </row>
    <row r="13" spans="1:9" x14ac:dyDescent="0.25">
      <c r="A13" s="1"/>
      <c r="B13" s="158" t="s">
        <v>279</v>
      </c>
      <c r="C13" s="159"/>
      <c r="D13" s="159"/>
      <c r="E13" s="159"/>
      <c r="F13" s="160"/>
      <c r="G13" s="9">
        <v>0</v>
      </c>
      <c r="H13" s="9" t="s">
        <v>3</v>
      </c>
      <c r="I13" s="1"/>
    </row>
    <row r="14" spans="1:9" x14ac:dyDescent="0.25">
      <c r="A14" s="1"/>
      <c r="B14" s="158" t="s">
        <v>280</v>
      </c>
      <c r="C14" s="159"/>
      <c r="D14" s="159"/>
      <c r="E14" s="159"/>
      <c r="F14" s="160"/>
      <c r="G14" s="9">
        <v>0</v>
      </c>
      <c r="H14" s="9" t="s">
        <v>3</v>
      </c>
      <c r="I14" s="1"/>
    </row>
    <row r="15" spans="1:9" x14ac:dyDescent="0.25">
      <c r="A15" s="1"/>
      <c r="B15" s="158" t="s">
        <v>281</v>
      </c>
      <c r="C15" s="159"/>
      <c r="D15" s="159"/>
      <c r="E15" s="159"/>
      <c r="F15" s="160"/>
      <c r="G15" s="9">
        <v>0</v>
      </c>
      <c r="H15" s="9" t="s">
        <v>3</v>
      </c>
      <c r="I15" s="1"/>
    </row>
    <row r="16" spans="1:9" x14ac:dyDescent="0.25">
      <c r="A16" s="1"/>
      <c r="B16" s="158" t="s">
        <v>282</v>
      </c>
      <c r="C16" s="159"/>
      <c r="D16" s="159"/>
      <c r="E16" s="159"/>
      <c r="F16" s="160"/>
      <c r="G16" s="9">
        <v>0</v>
      </c>
      <c r="H16" s="9" t="s">
        <v>3</v>
      </c>
      <c r="I16" s="1"/>
    </row>
    <row r="17" spans="1:9" x14ac:dyDescent="0.25">
      <c r="A17" s="1"/>
      <c r="B17" s="158" t="s">
        <v>283</v>
      </c>
      <c r="C17" s="159"/>
      <c r="D17" s="159"/>
      <c r="E17" s="159"/>
      <c r="F17" s="160"/>
      <c r="G17" s="9">
        <v>0</v>
      </c>
      <c r="H17" s="9" t="s">
        <v>3</v>
      </c>
      <c r="I17" s="1"/>
    </row>
    <row r="18" spans="1:9" x14ac:dyDescent="0.25">
      <c r="A18" s="1"/>
      <c r="B18" s="129" t="s">
        <v>254</v>
      </c>
      <c r="C18" s="130"/>
      <c r="D18" s="130"/>
      <c r="E18" s="130"/>
      <c r="F18" s="131"/>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y99ELacVLXpb5aJKU5JTi3KYLSykqBBGryfjVWLAPST+w3b3EpTJMKt858BlnlGWvf5qlzIaEFQ9WXCqXeiIvg==" saltValue="4I0nDpmDkmdHn7Ej3vEdEw=="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7" t="s">
        <v>256</v>
      </c>
      <c r="C3" s="137"/>
      <c r="D3" s="137"/>
      <c r="E3" s="137"/>
      <c r="F3" s="137"/>
      <c r="G3" s="1"/>
    </row>
    <row r="4" spans="1:7" ht="15" customHeight="1" x14ac:dyDescent="0.25">
      <c r="A4" s="1"/>
      <c r="B4" s="137"/>
      <c r="C4" s="137"/>
      <c r="D4" s="137"/>
      <c r="E4" s="137"/>
      <c r="F4" s="13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9" t="s">
        <v>209</v>
      </c>
      <c r="C9" s="130"/>
      <c r="D9" s="130"/>
      <c r="E9" s="130"/>
      <c r="F9" s="131"/>
      <c r="G9" s="1"/>
    </row>
    <row r="10" spans="1:7" x14ac:dyDescent="0.25">
      <c r="A10" s="1"/>
      <c r="B10" s="132" t="s">
        <v>100</v>
      </c>
      <c r="C10" s="133"/>
      <c r="D10" s="134"/>
      <c r="E10" s="7">
        <v>0</v>
      </c>
      <c r="F10" s="8" t="s">
        <v>3</v>
      </c>
      <c r="G10" s="1"/>
    </row>
    <row r="11" spans="1:7" x14ac:dyDescent="0.25">
      <c r="A11" s="1"/>
      <c r="B11" s="138" t="s">
        <v>210</v>
      </c>
      <c r="C11" s="139"/>
      <c r="D11" s="140"/>
      <c r="E11" s="7">
        <v>0</v>
      </c>
      <c r="F11" s="8" t="s">
        <v>3</v>
      </c>
      <c r="G11" s="1"/>
    </row>
    <row r="12" spans="1:7" x14ac:dyDescent="0.25">
      <c r="A12" s="1"/>
      <c r="B12" s="135" t="s">
        <v>101</v>
      </c>
      <c r="C12" s="136"/>
      <c r="D12" s="157"/>
      <c r="E12" s="10">
        <f>E11-E10</f>
        <v>0</v>
      </c>
      <c r="F12" s="11" t="s">
        <v>3</v>
      </c>
      <c r="G12" s="1"/>
    </row>
    <row r="13" spans="1:7" x14ac:dyDescent="0.25">
      <c r="A13" s="1"/>
      <c r="B13" s="129" t="s">
        <v>94</v>
      </c>
      <c r="C13" s="130"/>
      <c r="D13" s="130"/>
      <c r="E13" s="130"/>
      <c r="F13" s="131"/>
      <c r="G13" s="1"/>
    </row>
    <row r="14" spans="1:7" x14ac:dyDescent="0.25">
      <c r="A14" s="1"/>
      <c r="B14" s="138" t="s">
        <v>211</v>
      </c>
      <c r="C14" s="139"/>
      <c r="D14" s="140"/>
      <c r="E14" s="9">
        <v>0</v>
      </c>
      <c r="F14" s="8" t="s">
        <v>3</v>
      </c>
      <c r="G14" s="1"/>
    </row>
    <row r="15" spans="1:7" x14ac:dyDescent="0.25">
      <c r="A15" s="1"/>
      <c r="B15" s="132" t="s">
        <v>212</v>
      </c>
      <c r="C15" s="133"/>
      <c r="D15" s="134"/>
      <c r="E15" s="9">
        <v>0</v>
      </c>
      <c r="F15" s="8" t="s">
        <v>3</v>
      </c>
      <c r="G15" s="1"/>
    </row>
    <row r="16" spans="1:7" x14ac:dyDescent="0.25">
      <c r="A16" s="1"/>
      <c r="B16" s="135" t="s">
        <v>101</v>
      </c>
      <c r="C16" s="136"/>
      <c r="D16" s="157"/>
      <c r="E16" s="10">
        <f>E15-E14</f>
        <v>0</v>
      </c>
      <c r="F16" s="11" t="s">
        <v>3</v>
      </c>
      <c r="G16" s="1"/>
    </row>
    <row r="17" spans="1:7" x14ac:dyDescent="0.25">
      <c r="A17" s="1"/>
      <c r="B17" s="33" t="s">
        <v>213</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KOBH3MhpLKPyr4dDpOdf+BDru7owizhEpMCPQ5JpmLPA+YRWz+UHVLNiPr5rAC/LZcmtcrlBJyPz1OOYRONfw==" saltValue="DfF028VJKjpwwqp8aRSST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3.1406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1" t="s">
        <v>257</v>
      </c>
      <c r="C3" s="121"/>
      <c r="D3" s="121"/>
      <c r="E3" s="121"/>
      <c r="F3" s="121"/>
      <c r="G3" s="121"/>
      <c r="H3" s="121"/>
      <c r="I3" s="121"/>
      <c r="J3" s="121"/>
      <c r="K3" s="121"/>
      <c r="L3" s="1"/>
    </row>
    <row r="4" spans="1:12" ht="15" customHeight="1" x14ac:dyDescent="0.25">
      <c r="A4" s="1"/>
      <c r="B4" s="121"/>
      <c r="C4" s="121"/>
      <c r="D4" s="121"/>
      <c r="E4" s="121"/>
      <c r="F4" s="121"/>
      <c r="G4" s="121"/>
      <c r="H4" s="121"/>
      <c r="I4" s="121"/>
      <c r="J4" s="121"/>
      <c r="K4" s="12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9" t="s">
        <v>221</v>
      </c>
      <c r="C8" s="130"/>
      <c r="D8" s="130"/>
      <c r="E8" s="130"/>
      <c r="F8" s="130"/>
      <c r="G8" s="130"/>
      <c r="H8" s="130"/>
      <c r="I8" s="130"/>
      <c r="J8" s="130"/>
      <c r="K8" s="131"/>
      <c r="L8" s="1"/>
    </row>
    <row r="9" spans="1:12" ht="39.75" customHeight="1" x14ac:dyDescent="0.25">
      <c r="A9" s="1"/>
      <c r="B9" s="18" t="s">
        <v>0</v>
      </c>
      <c r="C9" s="18" t="s">
        <v>1</v>
      </c>
      <c r="D9" s="161" t="s">
        <v>247</v>
      </c>
      <c r="E9" s="162"/>
      <c r="F9" s="161" t="s">
        <v>2</v>
      </c>
      <c r="G9" s="162"/>
      <c r="H9" s="161" t="s">
        <v>246</v>
      </c>
      <c r="I9" s="162"/>
      <c r="J9" s="161" t="s">
        <v>30</v>
      </c>
      <c r="K9" s="162"/>
      <c r="L9" s="1"/>
    </row>
    <row r="10" spans="1:12" x14ac:dyDescent="0.25">
      <c r="A10" s="1"/>
      <c r="B10" s="98" t="s">
        <v>275</v>
      </c>
      <c r="C10" s="42">
        <v>0</v>
      </c>
      <c r="D10" s="9">
        <v>0</v>
      </c>
      <c r="E10" s="14" t="s">
        <v>3</v>
      </c>
      <c r="F10" s="9">
        <f>IFERROR(D10/C10,0)</f>
        <v>0</v>
      </c>
      <c r="G10" s="14" t="s">
        <v>3</v>
      </c>
      <c r="H10" s="45">
        <v>0</v>
      </c>
      <c r="I10" s="14" t="s">
        <v>3</v>
      </c>
      <c r="J10" s="45">
        <v>0</v>
      </c>
      <c r="K10" s="14" t="s">
        <v>3</v>
      </c>
      <c r="L10" s="1"/>
    </row>
    <row r="11" spans="1:12" x14ac:dyDescent="0.25">
      <c r="A11" s="1"/>
      <c r="B11" s="85" t="s">
        <v>222</v>
      </c>
      <c r="C11" s="86"/>
      <c r="D11" s="87"/>
      <c r="E11" s="87"/>
      <c r="F11" s="12">
        <f>SUM(F10:F10)</f>
        <v>0</v>
      </c>
      <c r="G11" s="12" t="s">
        <v>245</v>
      </c>
      <c r="H11" s="12">
        <f>SUM(H10:H10)</f>
        <v>0</v>
      </c>
      <c r="I11" s="12" t="s">
        <v>245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fbY4DPY+Indb24u4Bc23STceQV8IBvOPDcnIG+3L0wMIY7nyCvI6MPc9jbkR/rYAYtxg05cS75Hj5ciCPe7j8g==" saltValue="kPn/op6T672Q7+Zm19Ay4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258</v>
      </c>
      <c r="C3" s="121"/>
      <c r="D3" s="121"/>
      <c r="E3" s="121"/>
      <c r="F3" s="121"/>
      <c r="G3" s="1"/>
    </row>
    <row r="4" spans="1:7" ht="1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80</v>
      </c>
      <c r="C8" s="28"/>
      <c r="D8" s="28"/>
      <c r="E8" s="28"/>
      <c r="F8" s="19"/>
      <c r="G8" s="1"/>
    </row>
    <row r="9" spans="1:7" ht="17.25" customHeight="1" x14ac:dyDescent="0.25">
      <c r="A9" s="1"/>
      <c r="B9" s="83" t="s">
        <v>17</v>
      </c>
      <c r="C9" s="83" t="s">
        <v>11</v>
      </c>
      <c r="D9" s="84"/>
      <c r="E9" s="83" t="s">
        <v>31</v>
      </c>
      <c r="F9" s="32"/>
      <c r="G9" s="1"/>
    </row>
    <row r="10" spans="1:7" x14ac:dyDescent="0.25">
      <c r="A10" s="1"/>
      <c r="B10" s="24" t="s">
        <v>228</v>
      </c>
      <c r="C10" s="21">
        <f>'Fane 10. Anlægsprojekter (§ 19)'!H11</f>
        <v>0</v>
      </c>
      <c r="D10" s="14" t="s">
        <v>3</v>
      </c>
      <c r="E10" s="9">
        <f>SUM('Fane 10. Anlægsprojekter (§ 19)'!F11,'Fane 10. Anlægsprojekter (§ 19)'!J11)</f>
        <v>0</v>
      </c>
      <c r="F10" s="14" t="s">
        <v>3</v>
      </c>
      <c r="G10" s="1"/>
    </row>
    <row r="11" spans="1:7" x14ac:dyDescent="0.25">
      <c r="A11" s="1"/>
      <c r="B11" s="24" t="s">
        <v>284</v>
      </c>
      <c r="C11" s="21">
        <v>0</v>
      </c>
      <c r="D11" s="14" t="s">
        <v>3</v>
      </c>
      <c r="E11" s="9">
        <v>4304651</v>
      </c>
      <c r="F11" s="14" t="s">
        <v>3</v>
      </c>
      <c r="G11" s="1"/>
    </row>
    <row r="12" spans="1:7" x14ac:dyDescent="0.25">
      <c r="A12" s="1"/>
      <c r="B12" s="24" t="s">
        <v>287</v>
      </c>
      <c r="C12" s="21">
        <v>0</v>
      </c>
      <c r="D12" s="14" t="s">
        <v>3</v>
      </c>
      <c r="E12" s="9">
        <v>555763</v>
      </c>
      <c r="F12" s="14" t="s">
        <v>3</v>
      </c>
      <c r="G12" s="1"/>
    </row>
    <row r="13" spans="1:7" x14ac:dyDescent="0.25">
      <c r="A13" s="1"/>
      <c r="B13" s="24" t="s">
        <v>288</v>
      </c>
      <c r="C13" s="21">
        <v>186984</v>
      </c>
      <c r="D13" s="14" t="s">
        <v>3</v>
      </c>
      <c r="E13" s="9">
        <v>586780</v>
      </c>
      <c r="F13" s="14" t="s">
        <v>3</v>
      </c>
      <c r="G13" s="1"/>
    </row>
    <row r="14" spans="1:7" x14ac:dyDescent="0.25">
      <c r="A14" s="1"/>
      <c r="B14" s="24" t="s">
        <v>290</v>
      </c>
      <c r="C14" s="21">
        <v>44352</v>
      </c>
      <c r="D14" s="14" t="s">
        <v>3</v>
      </c>
      <c r="E14" s="9">
        <v>0</v>
      </c>
      <c r="F14" s="14" t="s">
        <v>3</v>
      </c>
      <c r="G14" s="1"/>
    </row>
    <row r="15" spans="1:7" x14ac:dyDescent="0.25">
      <c r="A15" s="1"/>
      <c r="B15" s="33" t="s">
        <v>156</v>
      </c>
      <c r="C15" s="12">
        <f>SUM(C10:C14)</f>
        <v>231336</v>
      </c>
      <c r="D15" s="13" t="s">
        <v>3</v>
      </c>
      <c r="E15" s="12">
        <f>SUM(E10:E14)</f>
        <v>5447194</v>
      </c>
      <c r="F15" s="13" t="s">
        <v>3</v>
      </c>
      <c r="G15" s="1"/>
    </row>
    <row r="16" spans="1:7" x14ac:dyDescent="0.25">
      <c r="A16" s="1"/>
      <c r="B16" s="33" t="s">
        <v>214</v>
      </c>
      <c r="C16" s="12">
        <f>C15*(1+'Fane 15. Nøgletal'!C15)</f>
        <v>239571.56160000002</v>
      </c>
      <c r="D16" s="13" t="s">
        <v>3</v>
      </c>
      <c r="E16" s="12">
        <f>E15*(1+'Fane 15. Nøgletal'!C15)</f>
        <v>5641114.1064000009</v>
      </c>
      <c r="F16" s="13" t="s">
        <v>3</v>
      </c>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M3wI1nVHToX5nqRK2XQiW2cSxUbFhVfvcOEdT7jc/7cxy7LjeEJQQspPNxghSG0zOJufSiFbCB92vk0eUyyr3g==" saltValue="HqJioZM2bLHnEz14+oqng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259</v>
      </c>
      <c r="C3" s="121"/>
      <c r="D3" s="121"/>
      <c r="E3" s="121"/>
      <c r="F3" s="121"/>
      <c r="G3" s="1"/>
    </row>
    <row r="4" spans="1:7" ht="1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9" t="s">
        <v>97</v>
      </c>
      <c r="C8" s="130"/>
      <c r="D8" s="130"/>
      <c r="E8" s="130"/>
      <c r="F8" s="131"/>
      <c r="G8" s="1"/>
    </row>
    <row r="9" spans="1:7" x14ac:dyDescent="0.25">
      <c r="A9" s="1"/>
      <c r="B9" s="83" t="s">
        <v>17</v>
      </c>
      <c r="C9" s="83" t="s">
        <v>11</v>
      </c>
      <c r="D9" s="84"/>
      <c r="E9" s="83" t="s">
        <v>31</v>
      </c>
      <c r="F9" s="32"/>
      <c r="G9" s="1"/>
    </row>
    <row r="10" spans="1:7" x14ac:dyDescent="0.25">
      <c r="A10" s="1"/>
      <c r="B10" s="24" t="s">
        <v>285</v>
      </c>
      <c r="C10" s="21">
        <v>171000</v>
      </c>
      <c r="D10" s="14" t="s">
        <v>3</v>
      </c>
      <c r="E10" s="9">
        <v>129974</v>
      </c>
      <c r="F10" s="14" t="s">
        <v>3</v>
      </c>
      <c r="G10" s="1"/>
    </row>
    <row r="11" spans="1:7" x14ac:dyDescent="0.25">
      <c r="A11" s="1"/>
      <c r="B11" s="24" t="s">
        <v>286</v>
      </c>
      <c r="C11" s="21">
        <v>0</v>
      </c>
      <c r="D11" s="14" t="s">
        <v>3</v>
      </c>
      <c r="E11" s="9">
        <v>24234</v>
      </c>
      <c r="F11" s="14" t="s">
        <v>3</v>
      </c>
      <c r="G11" s="1"/>
    </row>
    <row r="12" spans="1:7" x14ac:dyDescent="0.25">
      <c r="A12" s="1"/>
      <c r="B12" s="24" t="s">
        <v>288</v>
      </c>
      <c r="C12" s="21">
        <v>0</v>
      </c>
      <c r="D12" s="14" t="s">
        <v>3</v>
      </c>
      <c r="E12" s="9">
        <v>23649</v>
      </c>
      <c r="F12" s="14" t="s">
        <v>3</v>
      </c>
      <c r="G12" s="1"/>
    </row>
    <row r="13" spans="1:7" x14ac:dyDescent="0.25">
      <c r="A13" s="1"/>
      <c r="B13" s="24" t="s">
        <v>289</v>
      </c>
      <c r="C13" s="21">
        <v>443522</v>
      </c>
      <c r="D13" s="14" t="s">
        <v>3</v>
      </c>
      <c r="E13" s="9">
        <v>0</v>
      </c>
      <c r="F13" s="14" t="s">
        <v>3</v>
      </c>
      <c r="G13" s="1"/>
    </row>
    <row r="14" spans="1:7" x14ac:dyDescent="0.25">
      <c r="A14" s="1"/>
      <c r="B14" s="33" t="s">
        <v>234</v>
      </c>
      <c r="C14" s="12">
        <f>SUM(C10:C13)</f>
        <v>614522</v>
      </c>
      <c r="D14" s="13" t="s">
        <v>3</v>
      </c>
      <c r="E14" s="12">
        <f>SUM(E10:E13)</f>
        <v>177857</v>
      </c>
      <c r="F14" s="13" t="s">
        <v>3</v>
      </c>
      <c r="G14" s="1"/>
    </row>
    <row r="15" spans="1:7" x14ac:dyDescent="0.25">
      <c r="A15" s="1"/>
      <c r="B15" s="33" t="s">
        <v>136</v>
      </c>
      <c r="C15" s="12">
        <f>C14*(1+'Fane 15. Nøgletal'!C15)^2</f>
        <v>659054.78700192005</v>
      </c>
      <c r="D15" s="13" t="s">
        <v>3</v>
      </c>
      <c r="E15" s="12">
        <f>E14*(1+'Fane 15. Nøgletal'!C15)^2</f>
        <v>190745.82724752001</v>
      </c>
      <c r="F15" s="13" t="s">
        <v>3</v>
      </c>
      <c r="G15" s="1"/>
    </row>
    <row r="16" spans="1:7" x14ac:dyDescent="0.25">
      <c r="A16" s="1"/>
      <c r="B16" s="1"/>
      <c r="C16" s="1"/>
      <c r="D16" s="1"/>
      <c r="E16" s="1"/>
      <c r="F16" s="1"/>
      <c r="G16" s="1"/>
    </row>
    <row r="17" spans="1:7" x14ac:dyDescent="0.25">
      <c r="A17" s="1"/>
      <c r="B17" s="163"/>
      <c r="C17" s="163"/>
      <c r="D17" s="163"/>
      <c r="E17" s="163"/>
      <c r="F17" s="163"/>
      <c r="G17" s="1"/>
    </row>
    <row r="18" spans="1:7" x14ac:dyDescent="0.25">
      <c r="A18" s="1"/>
      <c r="B18" s="64"/>
      <c r="C18" s="64"/>
      <c r="D18" s="64"/>
      <c r="E18" s="64"/>
      <c r="F18" s="65"/>
      <c r="G18" s="1"/>
    </row>
    <row r="19" spans="1:7" x14ac:dyDescent="0.25">
      <c r="A19" s="1"/>
      <c r="B19" s="66"/>
      <c r="C19" s="67"/>
      <c r="D19" s="68"/>
      <c r="E19" s="69"/>
      <c r="F19" s="68"/>
      <c r="G19" s="1"/>
    </row>
    <row r="20" spans="1:7" x14ac:dyDescent="0.25">
      <c r="A20" s="1"/>
      <c r="B20" s="66"/>
      <c r="C20" s="67"/>
      <c r="D20" s="68"/>
      <c r="E20" s="69"/>
      <c r="F20" s="68"/>
      <c r="G20" s="1"/>
    </row>
    <row r="21" spans="1:7" x14ac:dyDescent="0.25">
      <c r="A21" s="1"/>
      <c r="B21" s="70"/>
      <c r="C21" s="71"/>
      <c r="D21" s="72"/>
      <c r="E21" s="71"/>
      <c r="F21" s="72"/>
      <c r="G21" s="1"/>
    </row>
    <row r="22" spans="1:7" x14ac:dyDescent="0.25">
      <c r="A22" s="1"/>
      <c r="B22" s="70"/>
      <c r="C22" s="71"/>
      <c r="D22" s="72"/>
      <c r="E22" s="71"/>
      <c r="F22" s="72"/>
      <c r="G22" s="1"/>
    </row>
    <row r="23" spans="1:7" x14ac:dyDescent="0.25">
      <c r="A23" s="1"/>
      <c r="B23" s="63"/>
      <c r="C23" s="63"/>
      <c r="D23" s="63"/>
      <c r="E23" s="63"/>
      <c r="F23" s="63"/>
      <c r="G23" s="1"/>
    </row>
    <row r="24" spans="1:7" x14ac:dyDescent="0.25">
      <c r="A24" s="1"/>
      <c r="B24" s="163"/>
      <c r="C24" s="163"/>
      <c r="D24" s="163"/>
      <c r="E24" s="163"/>
      <c r="F24" s="163"/>
      <c r="G24" s="1"/>
    </row>
    <row r="25" spans="1:7" x14ac:dyDescent="0.25">
      <c r="A25" s="1"/>
      <c r="B25" s="64"/>
      <c r="C25" s="64"/>
      <c r="D25" s="64"/>
      <c r="E25" s="64"/>
      <c r="F25" s="65"/>
      <c r="G25" s="1"/>
    </row>
    <row r="26" spans="1:7" x14ac:dyDescent="0.25">
      <c r="A26" s="1"/>
      <c r="B26" s="66"/>
      <c r="C26" s="67"/>
      <c r="D26" s="68"/>
      <c r="E26" s="69"/>
      <c r="F26" s="68"/>
      <c r="G26" s="1"/>
    </row>
    <row r="27" spans="1:7" x14ac:dyDescent="0.25">
      <c r="A27" s="1"/>
      <c r="B27" s="66"/>
      <c r="C27" s="67"/>
      <c r="D27" s="68"/>
      <c r="E27" s="69"/>
      <c r="F27" s="68"/>
      <c r="G27" s="1"/>
    </row>
    <row r="28" spans="1:7" x14ac:dyDescent="0.25">
      <c r="A28" s="1"/>
      <c r="B28" s="70"/>
      <c r="C28" s="71"/>
      <c r="D28" s="72"/>
      <c r="E28" s="71"/>
      <c r="F28" s="72"/>
      <c r="G28" s="1"/>
    </row>
    <row r="29" spans="1:7" x14ac:dyDescent="0.25">
      <c r="A29" s="1"/>
      <c r="B29" s="70"/>
      <c r="C29" s="71"/>
      <c r="D29" s="72"/>
      <c r="E29" s="71"/>
      <c r="F29" s="72"/>
      <c r="G29" s="1"/>
    </row>
    <row r="30" spans="1:7" x14ac:dyDescent="0.25">
      <c r="A30" s="1"/>
      <c r="B30" s="63"/>
      <c r="C30" s="63"/>
      <c r="D30" s="63"/>
      <c r="E30" s="63"/>
      <c r="F30" s="63"/>
      <c r="G30" s="1"/>
    </row>
    <row r="31" spans="1:7" x14ac:dyDescent="0.25">
      <c r="A31" s="1"/>
      <c r="B31" s="163"/>
      <c r="C31" s="163"/>
      <c r="D31" s="163"/>
      <c r="E31" s="163"/>
      <c r="F31" s="163"/>
      <c r="G31" s="1"/>
    </row>
    <row r="32" spans="1:7" x14ac:dyDescent="0.25">
      <c r="A32" s="1"/>
      <c r="B32" s="64"/>
      <c r="C32" s="64"/>
      <c r="D32" s="64"/>
      <c r="E32" s="64"/>
      <c r="F32" s="65"/>
      <c r="G32" s="1"/>
    </row>
    <row r="33" spans="1:7" x14ac:dyDescent="0.25">
      <c r="A33" s="1"/>
      <c r="B33" s="66"/>
      <c r="C33" s="67"/>
      <c r="D33" s="68"/>
      <c r="E33" s="69"/>
      <c r="F33" s="68"/>
      <c r="G33" s="1"/>
    </row>
    <row r="34" spans="1:7" x14ac:dyDescent="0.25">
      <c r="A34" s="1"/>
      <c r="B34" s="66"/>
      <c r="C34" s="67"/>
      <c r="D34" s="68"/>
      <c r="E34" s="69"/>
      <c r="F34" s="68"/>
      <c r="G34" s="1"/>
    </row>
    <row r="35" spans="1:7" x14ac:dyDescent="0.25">
      <c r="A35" s="1"/>
      <c r="B35" s="70"/>
      <c r="C35" s="71"/>
      <c r="D35" s="72"/>
      <c r="E35" s="71"/>
      <c r="F35" s="72"/>
      <c r="G35" s="1"/>
    </row>
    <row r="36" spans="1:7" x14ac:dyDescent="0.25">
      <c r="A36" s="1"/>
      <c r="B36" s="70"/>
      <c r="C36" s="71"/>
      <c r="D36" s="72"/>
      <c r="E36" s="71"/>
      <c r="F36" s="72"/>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jhnT8QFB/TsbnT3JcDb9ldhGTJfuZ7A9JJCkCgr4dnTO+eM8zmP2yHFnWKyejG8Y1MXfYfgIvjhLzKyQm0Nz+g==" saltValue="DZPQV7sUCAVLXUYLPJer6A==" spinCount="100000" sheet="1" objects="1" scenarios="1"/>
  <mergeCells count="5">
    <mergeCell ref="B31:F31"/>
    <mergeCell ref="B3:F4"/>
    <mergeCell ref="B8:F8"/>
    <mergeCell ref="B17:F17"/>
    <mergeCell ref="B24:F2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7" t="s">
        <v>260</v>
      </c>
      <c r="C3" s="137"/>
      <c r="D3" s="137"/>
      <c r="E3" s="137"/>
      <c r="F3" s="137"/>
      <c r="G3" s="1"/>
    </row>
    <row r="4" spans="1:7" ht="15" customHeight="1" x14ac:dyDescent="0.25">
      <c r="A4" s="1"/>
      <c r="B4" s="137"/>
      <c r="C4" s="137"/>
      <c r="D4" s="137"/>
      <c r="E4" s="137"/>
      <c r="F4" s="137"/>
      <c r="G4" s="1"/>
    </row>
    <row r="5" spans="1:7" x14ac:dyDescent="0.25">
      <c r="A5" s="1"/>
      <c r="B5" s="137"/>
      <c r="C5" s="137"/>
      <c r="D5" s="137"/>
      <c r="E5" s="137"/>
      <c r="F5" s="137"/>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9" t="s">
        <v>91</v>
      </c>
      <c r="C9" s="130"/>
      <c r="D9" s="130"/>
      <c r="E9" s="130"/>
      <c r="F9" s="131"/>
      <c r="G9" s="1"/>
    </row>
    <row r="10" spans="1:7" x14ac:dyDescent="0.25">
      <c r="A10" s="1"/>
      <c r="B10" s="158" t="s">
        <v>226</v>
      </c>
      <c r="C10" s="159"/>
      <c r="D10" s="160"/>
      <c r="E10" s="9">
        <v>1007888.005403318</v>
      </c>
      <c r="F10" s="14" t="s">
        <v>3</v>
      </c>
      <c r="G10" s="1"/>
    </row>
    <row r="11" spans="1:7" x14ac:dyDescent="0.25">
      <c r="A11" s="1"/>
      <c r="B11" s="123" t="s">
        <v>10</v>
      </c>
      <c r="C11" s="124"/>
      <c r="D11" s="125"/>
      <c r="E11" s="9">
        <f>-E10*'Fane 5. Individuelt eff. krav'!G9</f>
        <v>-10233.699153962525</v>
      </c>
      <c r="F11" s="14" t="s">
        <v>3</v>
      </c>
      <c r="G11" s="1"/>
    </row>
    <row r="12" spans="1:7" x14ac:dyDescent="0.25">
      <c r="A12" s="1"/>
      <c r="B12" s="123" t="s">
        <v>24</v>
      </c>
      <c r="C12" s="124"/>
      <c r="D12" s="125"/>
      <c r="E12" s="9">
        <f>-E10*'Fane 15. Nøgletal'!C31</f>
        <v>-20157.760108066359</v>
      </c>
      <c r="F12" s="14" t="s">
        <v>3</v>
      </c>
      <c r="G12" s="1"/>
    </row>
    <row r="13" spans="1:7" x14ac:dyDescent="0.25">
      <c r="A13" s="1"/>
      <c r="B13" s="129" t="s">
        <v>92</v>
      </c>
      <c r="C13" s="130"/>
      <c r="D13" s="131"/>
      <c r="E13" s="12">
        <f>SUM(E10:E12)*(1+'Fane 15. Nøgletal'!C15)^2</f>
        <v>1048333.1402492665</v>
      </c>
      <c r="F13" s="13" t="s">
        <v>3</v>
      </c>
      <c r="G13" s="1"/>
    </row>
    <row r="14" spans="1:7" x14ac:dyDescent="0.25">
      <c r="A14" s="1"/>
      <c r="B14" s="1"/>
      <c r="C14" s="1"/>
      <c r="D14" s="1"/>
      <c r="E14" s="1"/>
      <c r="F14" s="1"/>
      <c r="G14" s="1"/>
    </row>
    <row r="15" spans="1:7" ht="15" customHeight="1" x14ac:dyDescent="0.25">
      <c r="A15" s="1"/>
      <c r="B15" s="129" t="s">
        <v>130</v>
      </c>
      <c r="C15" s="130"/>
      <c r="D15" s="130"/>
      <c r="E15" s="130"/>
      <c r="F15" s="131"/>
      <c r="G15" s="1"/>
    </row>
    <row r="16" spans="1:7" x14ac:dyDescent="0.25">
      <c r="A16" s="1"/>
      <c r="B16" s="158" t="s">
        <v>226</v>
      </c>
      <c r="C16" s="159"/>
      <c r="D16" s="160"/>
      <c r="E16" s="9">
        <v>1007888.005403318</v>
      </c>
      <c r="F16" s="14" t="s">
        <v>3</v>
      </c>
      <c r="G16" s="1"/>
    </row>
    <row r="17" spans="1:7" x14ac:dyDescent="0.25">
      <c r="A17" s="1"/>
      <c r="B17" s="123" t="s">
        <v>10</v>
      </c>
      <c r="C17" s="124"/>
      <c r="D17" s="125"/>
      <c r="E17" s="9">
        <f>-E16*'Fane 5. Individuelt eff. krav'!G9</f>
        <v>-10233.699153962525</v>
      </c>
      <c r="F17" s="14" t="s">
        <v>3</v>
      </c>
      <c r="G17" s="1"/>
    </row>
    <row r="18" spans="1:7" x14ac:dyDescent="0.25">
      <c r="A18" s="1"/>
      <c r="B18" s="123" t="s">
        <v>24</v>
      </c>
      <c r="C18" s="124"/>
      <c r="D18" s="125"/>
      <c r="E18" s="9">
        <f>-E16*'Fane 15. Nøgletal'!C31</f>
        <v>-20157.760108066359</v>
      </c>
      <c r="F18" s="14" t="s">
        <v>3</v>
      </c>
      <c r="G18" s="1"/>
    </row>
    <row r="19" spans="1:7" x14ac:dyDescent="0.25">
      <c r="A19" s="1"/>
      <c r="B19" s="129" t="s">
        <v>131</v>
      </c>
      <c r="C19" s="130"/>
      <c r="D19" s="131"/>
      <c r="E19" s="12">
        <f>SUM(E16:E18)*(1+'Fane 15. Nøgletal'!C15)^3</f>
        <v>1085653.8000421405</v>
      </c>
      <c r="F19" s="13" t="s">
        <v>3</v>
      </c>
      <c r="G19" s="1"/>
    </row>
    <row r="20" spans="1:7" x14ac:dyDescent="0.25">
      <c r="A20" s="1"/>
      <c r="B20" s="1"/>
      <c r="C20" s="1"/>
      <c r="D20" s="1"/>
      <c r="E20" s="1"/>
      <c r="F20" s="1"/>
      <c r="G20" s="1"/>
    </row>
    <row r="21" spans="1:7" ht="15" customHeight="1" x14ac:dyDescent="0.25">
      <c r="A21" s="1"/>
      <c r="B21" s="129" t="s">
        <v>157</v>
      </c>
      <c r="C21" s="130"/>
      <c r="D21" s="130"/>
      <c r="E21" s="130"/>
      <c r="F21" s="131"/>
      <c r="G21" s="1"/>
    </row>
    <row r="22" spans="1:7" x14ac:dyDescent="0.25">
      <c r="A22" s="1"/>
      <c r="B22" s="158" t="s">
        <v>226</v>
      </c>
      <c r="C22" s="159"/>
      <c r="D22" s="160"/>
      <c r="E22" s="9">
        <v>1007888.005403318</v>
      </c>
      <c r="F22" s="14" t="s">
        <v>3</v>
      </c>
      <c r="G22" s="1"/>
    </row>
    <row r="23" spans="1:7" x14ac:dyDescent="0.25">
      <c r="A23" s="1"/>
      <c r="B23" s="123" t="s">
        <v>10</v>
      </c>
      <c r="C23" s="124"/>
      <c r="D23" s="125"/>
      <c r="E23" s="9">
        <f>-E22*'Fane 5. Individuelt eff. krav'!G9</f>
        <v>-10233.699153962525</v>
      </c>
      <c r="F23" s="14" t="s">
        <v>3</v>
      </c>
      <c r="G23" s="1"/>
    </row>
    <row r="24" spans="1:7" x14ac:dyDescent="0.25">
      <c r="A24" s="1"/>
      <c r="B24" s="123" t="s">
        <v>24</v>
      </c>
      <c r="C24" s="124"/>
      <c r="D24" s="125"/>
      <c r="E24" s="9">
        <f>-E22*'Fane 15. Nøgletal'!C31</f>
        <v>-20157.760108066359</v>
      </c>
      <c r="F24" s="14" t="s">
        <v>3</v>
      </c>
      <c r="G24" s="1"/>
    </row>
    <row r="25" spans="1:7" x14ac:dyDescent="0.25">
      <c r="A25" s="1"/>
      <c r="B25" s="129" t="s">
        <v>158</v>
      </c>
      <c r="C25" s="130"/>
      <c r="D25" s="131"/>
      <c r="E25" s="12">
        <f>SUM(E22:E24)*(1+'Fane 15. Nøgletal'!C15)^4</f>
        <v>1124303.0753236408</v>
      </c>
      <c r="F25" s="13" t="s">
        <v>3</v>
      </c>
      <c r="G25" s="1"/>
    </row>
    <row r="26" spans="1:7" x14ac:dyDescent="0.25">
      <c r="A26" s="1"/>
      <c r="B26" s="1"/>
      <c r="C26" s="1"/>
      <c r="D26" s="1"/>
      <c r="E26" s="1"/>
      <c r="F26" s="1"/>
      <c r="G26" s="1"/>
    </row>
    <row r="27" spans="1:7" ht="15" customHeight="1" x14ac:dyDescent="0.25">
      <c r="A27" s="1"/>
      <c r="B27" s="129" t="s">
        <v>215</v>
      </c>
      <c r="C27" s="130"/>
      <c r="D27" s="130"/>
      <c r="E27" s="130"/>
      <c r="F27" s="131"/>
      <c r="G27" s="1"/>
    </row>
    <row r="28" spans="1:7" ht="14.25" customHeight="1" x14ac:dyDescent="0.25">
      <c r="A28" s="1"/>
      <c r="B28" s="158" t="s">
        <v>226</v>
      </c>
      <c r="C28" s="159"/>
      <c r="D28" s="160"/>
      <c r="E28" s="9">
        <v>1007888.005403318</v>
      </c>
      <c r="F28" s="14" t="s">
        <v>3</v>
      </c>
      <c r="G28" s="1"/>
    </row>
    <row r="29" spans="1:7" x14ac:dyDescent="0.25">
      <c r="A29" s="1"/>
      <c r="B29" s="123" t="s">
        <v>10</v>
      </c>
      <c r="C29" s="124"/>
      <c r="D29" s="125"/>
      <c r="E29" s="9">
        <f>-E28*'Fane 5. Individuelt eff. krav'!G9</f>
        <v>-10233.699153962525</v>
      </c>
      <c r="F29" s="14" t="s">
        <v>3</v>
      </c>
      <c r="G29" s="1"/>
    </row>
    <row r="30" spans="1:7" x14ac:dyDescent="0.25">
      <c r="A30" s="1"/>
      <c r="B30" s="123" t="s">
        <v>24</v>
      </c>
      <c r="C30" s="124"/>
      <c r="D30" s="125"/>
      <c r="E30" s="9">
        <f>-E28*'Fane 15. Nøgletal'!C31</f>
        <v>-20157.760108066359</v>
      </c>
      <c r="F30" s="14" t="s">
        <v>3</v>
      </c>
      <c r="G30" s="1"/>
    </row>
    <row r="31" spans="1:7" x14ac:dyDescent="0.25">
      <c r="A31" s="1"/>
      <c r="B31" s="129" t="s">
        <v>216</v>
      </c>
      <c r="C31" s="130"/>
      <c r="D31" s="131"/>
      <c r="E31" s="12">
        <f>SUM(E28:E30)*(1+'Fane 15. Nøgletal'!C15)^5</f>
        <v>1164328.2648051623</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qxHRNastkSSBSMiEdst9H8fc6d9C4YpjmH/58BEpV1xAK6oHHhB9JkZnmTnyhihpHUr9l9miD1dgBrJisAhobQ==" saltValue="32zKCwGLRz0uYbHllf/7E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7" t="s">
        <v>261</v>
      </c>
      <c r="C3" s="137"/>
      <c r="D3" s="137"/>
      <c r="E3" s="137"/>
      <c r="F3" s="137"/>
      <c r="G3" s="1"/>
    </row>
    <row r="4" spans="1:7" ht="25.5" customHeight="1" x14ac:dyDescent="0.25">
      <c r="A4" s="1"/>
      <c r="B4" s="137"/>
      <c r="C4" s="137"/>
      <c r="D4" s="137"/>
      <c r="E4" s="137"/>
      <c r="F4" s="13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9" t="s">
        <v>132</v>
      </c>
      <c r="C8" s="130"/>
      <c r="D8" s="130"/>
      <c r="E8" s="130"/>
      <c r="F8" s="131"/>
      <c r="G8" s="1"/>
    </row>
    <row r="9" spans="1:7" ht="15" customHeight="1" x14ac:dyDescent="0.25">
      <c r="A9" s="1"/>
      <c r="B9" s="31" t="s">
        <v>133</v>
      </c>
      <c r="C9" s="31" t="s">
        <v>11</v>
      </c>
      <c r="D9" s="32"/>
      <c r="E9" s="31" t="s">
        <v>31</v>
      </c>
      <c r="F9" s="32"/>
      <c r="G9" s="1"/>
    </row>
    <row r="10" spans="1:7" x14ac:dyDescent="0.25">
      <c r="A10" s="1"/>
      <c r="B10" s="24" t="s">
        <v>274</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218</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Pucn5tp2VMHpQdnqt1khgl+a9ZTCUIxW6uO1Cj5dGvTUIY1BOfmKW2zYUVcaN5+aw6vItQocPCUsE7t0iucGZw==" saltValue="KWMLl6lvwTNcyhoOibuN9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7" t="s">
        <v>262</v>
      </c>
      <c r="C3" s="137"/>
      <c r="D3" s="137"/>
      <c r="E3" s="137"/>
      <c r="F3" s="137"/>
      <c r="G3" s="1"/>
    </row>
    <row r="4" spans="1:7" ht="25.5" customHeight="1" x14ac:dyDescent="0.25">
      <c r="A4" s="1"/>
      <c r="B4" s="137"/>
      <c r="C4" s="137"/>
      <c r="D4" s="137"/>
      <c r="E4" s="137"/>
      <c r="F4" s="13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9" t="s">
        <v>93</v>
      </c>
      <c r="C9" s="130"/>
      <c r="D9" s="130"/>
      <c r="E9" s="130"/>
      <c r="F9" s="131"/>
      <c r="G9" s="1"/>
    </row>
    <row r="10" spans="1:7" ht="26.25" x14ac:dyDescent="0.25">
      <c r="A10" s="1"/>
      <c r="B10" s="31" t="s">
        <v>18</v>
      </c>
      <c r="C10" s="31" t="s">
        <v>11</v>
      </c>
      <c r="D10" s="32"/>
      <c r="E10" s="31" t="s">
        <v>31</v>
      </c>
      <c r="F10" s="32"/>
      <c r="G10" s="1"/>
    </row>
    <row r="11" spans="1:7" x14ac:dyDescent="0.25">
      <c r="A11" s="1"/>
      <c r="B11" s="24" t="s">
        <v>177</v>
      </c>
      <c r="C11" s="9">
        <v>0</v>
      </c>
      <c r="D11" s="14" t="s">
        <v>3</v>
      </c>
      <c r="E11" s="9">
        <v>0</v>
      </c>
      <c r="F11" s="14" t="s">
        <v>3</v>
      </c>
      <c r="G11" s="1"/>
    </row>
    <row r="12" spans="1:7" x14ac:dyDescent="0.25">
      <c r="A12" s="1"/>
      <c r="B12" s="33" t="s">
        <v>236</v>
      </c>
      <c r="C12" s="12">
        <f>SUM(C11:C11)</f>
        <v>0</v>
      </c>
      <c r="D12" s="13" t="s">
        <v>3</v>
      </c>
      <c r="E12" s="12">
        <f>SUM(E11:E11)</f>
        <v>0</v>
      </c>
      <c r="F12" s="13" t="s">
        <v>3</v>
      </c>
      <c r="G12" s="1"/>
    </row>
    <row r="13" spans="1:7" x14ac:dyDescent="0.25">
      <c r="A13" s="1"/>
      <c r="B13" s="33"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3"/>
      <c r="C15" s="163"/>
      <c r="D15" s="163"/>
      <c r="E15" s="163"/>
      <c r="F15" s="163"/>
      <c r="G15" s="1"/>
    </row>
    <row r="16" spans="1:7" x14ac:dyDescent="0.25">
      <c r="A16" s="1"/>
      <c r="B16" s="65"/>
      <c r="C16" s="65"/>
      <c r="D16" s="65"/>
      <c r="E16" s="65"/>
      <c r="F16" s="65"/>
      <c r="G16" s="1"/>
    </row>
    <row r="17" spans="1:7" x14ac:dyDescent="0.25">
      <c r="A17" s="1"/>
      <c r="B17" s="66"/>
      <c r="C17" s="69"/>
      <c r="D17" s="68"/>
      <c r="E17" s="69"/>
      <c r="F17" s="68"/>
      <c r="G17" s="1"/>
    </row>
    <row r="18" spans="1:7" x14ac:dyDescent="0.25">
      <c r="A18" s="1"/>
      <c r="B18" s="70"/>
      <c r="C18" s="71"/>
      <c r="D18" s="72"/>
      <c r="E18" s="71"/>
      <c r="F18" s="72"/>
      <c r="G18" s="1"/>
    </row>
    <row r="19" spans="1:7" x14ac:dyDescent="0.25">
      <c r="A19" s="1"/>
      <c r="B19" s="70"/>
      <c r="C19" s="71"/>
      <c r="D19" s="72"/>
      <c r="E19" s="71"/>
      <c r="F19" s="72"/>
      <c r="G19" s="1"/>
    </row>
    <row r="20" spans="1:7" x14ac:dyDescent="0.25">
      <c r="A20" s="1"/>
      <c r="B20" s="63"/>
      <c r="C20" s="63"/>
      <c r="D20" s="63"/>
      <c r="E20" s="63"/>
      <c r="F20" s="63"/>
      <c r="G20" s="1"/>
    </row>
    <row r="21" spans="1:7" x14ac:dyDescent="0.25">
      <c r="A21" s="1"/>
      <c r="B21" s="163"/>
      <c r="C21" s="163"/>
      <c r="D21" s="163"/>
      <c r="E21" s="163"/>
      <c r="F21" s="163"/>
      <c r="G21" s="1"/>
    </row>
    <row r="22" spans="1:7" x14ac:dyDescent="0.25">
      <c r="A22" s="1"/>
      <c r="B22" s="65"/>
      <c r="C22" s="65"/>
      <c r="D22" s="65"/>
      <c r="E22" s="65"/>
      <c r="F22" s="65"/>
      <c r="G22" s="1"/>
    </row>
    <row r="23" spans="1:7" x14ac:dyDescent="0.25">
      <c r="A23" s="1"/>
      <c r="B23" s="66"/>
      <c r="C23" s="69"/>
      <c r="D23" s="68"/>
      <c r="E23" s="69"/>
      <c r="F23" s="68"/>
      <c r="G23" s="1"/>
    </row>
    <row r="24" spans="1:7" x14ac:dyDescent="0.25">
      <c r="A24" s="1"/>
      <c r="B24" s="70"/>
      <c r="C24" s="71"/>
      <c r="D24" s="72"/>
      <c r="E24" s="71"/>
      <c r="F24" s="72"/>
      <c r="G24" s="1"/>
    </row>
    <row r="25" spans="1:7" x14ac:dyDescent="0.25">
      <c r="A25" s="1"/>
      <c r="B25" s="70"/>
      <c r="C25" s="71"/>
      <c r="D25" s="72"/>
      <c r="E25" s="71"/>
      <c r="F25" s="72"/>
      <c r="G25" s="1"/>
    </row>
    <row r="26" spans="1:7" x14ac:dyDescent="0.25">
      <c r="A26" s="1"/>
      <c r="B26" s="63"/>
      <c r="C26" s="63"/>
      <c r="D26" s="63"/>
      <c r="E26" s="63"/>
      <c r="F26" s="63"/>
      <c r="G26" s="1"/>
    </row>
    <row r="27" spans="1:7" x14ac:dyDescent="0.25">
      <c r="A27" s="1"/>
      <c r="B27" s="163"/>
      <c r="C27" s="163"/>
      <c r="D27" s="163"/>
      <c r="E27" s="163"/>
      <c r="F27" s="163"/>
      <c r="G27" s="1"/>
    </row>
    <row r="28" spans="1:7" x14ac:dyDescent="0.25">
      <c r="A28" s="1"/>
      <c r="B28" s="65"/>
      <c r="C28" s="65"/>
      <c r="D28" s="65"/>
      <c r="E28" s="65"/>
      <c r="F28" s="65"/>
      <c r="G28" s="1"/>
    </row>
    <row r="29" spans="1:7" x14ac:dyDescent="0.25">
      <c r="A29" s="1"/>
      <c r="B29" s="66"/>
      <c r="C29" s="69"/>
      <c r="D29" s="68"/>
      <c r="E29" s="69"/>
      <c r="F29" s="68"/>
      <c r="G29" s="1"/>
    </row>
    <row r="30" spans="1:7" x14ac:dyDescent="0.25">
      <c r="A30" s="1"/>
      <c r="B30" s="70"/>
      <c r="C30" s="71"/>
      <c r="D30" s="72"/>
      <c r="E30" s="71"/>
      <c r="F30" s="72"/>
      <c r="G30" s="1"/>
    </row>
    <row r="31" spans="1:7" x14ac:dyDescent="0.25">
      <c r="A31" s="1"/>
      <c r="B31" s="70"/>
      <c r="C31" s="71"/>
      <c r="D31" s="72"/>
      <c r="E31" s="71"/>
      <c r="F31" s="72"/>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b6hw+E9RyPd9/lCATvpvudY6WZilfU4b5A+Fwe93vBaH1Twibapj3K2EdZQP70JW1+Omu+om7f0LBxYqolNEWQ==" saltValue="HRxm2NhoqtsKdJ0jjdU/g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1" t="s">
        <v>182</v>
      </c>
      <c r="C3" s="121"/>
      <c r="D3" s="121"/>
      <c r="E3" s="1"/>
    </row>
    <row r="4" spans="1:5" ht="15" customHeight="1" x14ac:dyDescent="0.25">
      <c r="A4" s="1"/>
      <c r="B4" s="121"/>
      <c r="C4" s="121"/>
      <c r="D4" s="12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126</v>
      </c>
      <c r="C9" s="7">
        <f>'Fane 3. Omkostninger i ØR2022'!E20</f>
        <v>255567560.00906804</v>
      </c>
      <c r="D9" s="8" t="s">
        <v>3</v>
      </c>
      <c r="E9" s="1"/>
    </row>
    <row r="10" spans="1:5" ht="17.25" customHeight="1" x14ac:dyDescent="0.25">
      <c r="A10" s="1"/>
      <c r="B10" s="82" t="s">
        <v>39</v>
      </c>
      <c r="C10" s="7">
        <f>'Fane 11.1. Varige tillæg'!C16</f>
        <v>239571.56160000002</v>
      </c>
      <c r="D10" s="8" t="s">
        <v>3</v>
      </c>
      <c r="E10" s="1"/>
    </row>
    <row r="11" spans="1:5" ht="17.25" customHeight="1" x14ac:dyDescent="0.25">
      <c r="A11" s="1"/>
      <c r="B11" s="82" t="s">
        <v>40</v>
      </c>
      <c r="C11" s="9">
        <f>'Fane 11.1. Varige tillæg'!E16</f>
        <v>5641114.1064000009</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5">
        <f>SUM(C9)*'Fane 15. Nøgletal'!C14+SUM(C10:C15)*'Fane 15. Nøgletal'!C15</f>
        <v>1052725.3578107245</v>
      </c>
      <c r="D16" s="8" t="s">
        <v>3</v>
      </c>
      <c r="E16" s="1"/>
    </row>
    <row r="17" spans="1:5" ht="17.25" customHeight="1" x14ac:dyDescent="0.25">
      <c r="A17" s="1"/>
      <c r="B17" s="82" t="s">
        <v>10</v>
      </c>
      <c r="C17" s="45">
        <f>-SUM(C9,C10:C16)*'Fane 5. Individuelt eff. krav'!G9</f>
        <v>-2665331.8134478685</v>
      </c>
      <c r="D17" s="8" t="s">
        <v>3</v>
      </c>
      <c r="E17" s="1"/>
    </row>
    <row r="18" spans="1:5" ht="17.25" customHeight="1" x14ac:dyDescent="0.25">
      <c r="A18" s="1"/>
      <c r="B18" s="82" t="s">
        <v>24</v>
      </c>
      <c r="C18" s="45">
        <f>-'Fane 4.1. Gen. krav - drift'!G45</f>
        <v>-1859286.7431275137</v>
      </c>
      <c r="D18" s="8" t="s">
        <v>3</v>
      </c>
      <c r="E18" s="1"/>
    </row>
    <row r="19" spans="1:5" ht="17.25" customHeight="1" x14ac:dyDescent="0.25">
      <c r="A19" s="1"/>
      <c r="B19" s="82" t="s">
        <v>25</v>
      </c>
      <c r="C19" s="45">
        <f>-'Fane 4.2. Gen. krav - anlæg'!G44</f>
        <v>-2560873.8564096089</v>
      </c>
      <c r="D19" s="8" t="s">
        <v>3</v>
      </c>
      <c r="E19" s="52"/>
    </row>
    <row r="20" spans="1:5" ht="17.25" customHeight="1" x14ac:dyDescent="0.25">
      <c r="A20" s="1"/>
      <c r="B20" s="88" t="s">
        <v>21</v>
      </c>
      <c r="C20" s="10">
        <f>SUM(C9:C19)</f>
        <v>255415478.62189379</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omk.'!C16+'Fane 6. Ikke-påvirkelige omk.'!C20+'Fane 6. Ikke-påvirkelige omk.'!C28</f>
        <v>7703261.7877106359</v>
      </c>
      <c r="D22" s="11" t="s">
        <v>3</v>
      </c>
      <c r="E22" s="1"/>
    </row>
    <row r="23" spans="1:5" ht="15" customHeight="1" x14ac:dyDescent="0.25">
      <c r="A23" s="1"/>
      <c r="B23" s="33" t="s">
        <v>86</v>
      </c>
      <c r="C23" s="28"/>
      <c r="D23" s="19"/>
      <c r="E23" s="1"/>
    </row>
    <row r="24" spans="1:5" ht="15" customHeight="1" x14ac:dyDescent="0.25">
      <c r="A24" s="1"/>
      <c r="B24" s="88" t="s">
        <v>86</v>
      </c>
      <c r="C24" s="10">
        <f>'Fane 12. Periodevise driftsomk.'!E13</f>
        <v>1048333.1402492665</v>
      </c>
      <c r="D24" s="11" t="s">
        <v>3</v>
      </c>
      <c r="E24" s="1"/>
    </row>
    <row r="25" spans="1:5" ht="15" customHeight="1" x14ac:dyDescent="0.25">
      <c r="A25" s="1"/>
      <c r="B25" s="48" t="s">
        <v>85</v>
      </c>
      <c r="C25" s="46"/>
      <c r="D25" s="47"/>
      <c r="E25" s="1"/>
    </row>
    <row r="26" spans="1:5" ht="15" customHeight="1" x14ac:dyDescent="0.25">
      <c r="A26" s="1"/>
      <c r="B26" s="82" t="s">
        <v>233</v>
      </c>
      <c r="C26" s="49">
        <f>'Fane 11.2. Engangstillæg'!C15</f>
        <v>659054.78700192005</v>
      </c>
      <c r="D26" s="8" t="s">
        <v>3</v>
      </c>
      <c r="E26" s="1"/>
    </row>
    <row r="27" spans="1:5" ht="15" customHeight="1" x14ac:dyDescent="0.25">
      <c r="A27" s="1"/>
      <c r="B27" s="82" t="s">
        <v>82</v>
      </c>
      <c r="C27" s="49">
        <f>'Fane 11.2. Engangstillæg'!E15</f>
        <v>190745.82724752001</v>
      </c>
      <c r="D27" s="8" t="s">
        <v>3</v>
      </c>
      <c r="E27" s="1"/>
    </row>
    <row r="28" spans="1:5" ht="15" customHeight="1" x14ac:dyDescent="0.25">
      <c r="A28" s="1"/>
      <c r="B28" s="82" t="s">
        <v>240</v>
      </c>
      <c r="C28" s="49">
        <f>-C26*('Fane 15. Nøgletal'!C31+'Fane 5. Individuelt eff. krav'!G9)</f>
        <v>-19872.879331071003</v>
      </c>
      <c r="D28" s="8" t="s">
        <v>3</v>
      </c>
      <c r="E28" s="1"/>
    </row>
    <row r="29" spans="1:5" ht="15" customHeight="1" x14ac:dyDescent="0.25">
      <c r="A29" s="1"/>
      <c r="B29" s="82" t="s">
        <v>241</v>
      </c>
      <c r="C29" s="49">
        <f>-C27*('Fane 15. Nøgletal'!C26+'Fane 5. Individuelt eff. krav'!G9)</f>
        <v>-1936.7582513730761</v>
      </c>
      <c r="D29" s="8" t="s">
        <v>3</v>
      </c>
      <c r="E29" s="1"/>
    </row>
    <row r="30" spans="1:5" ht="15" customHeight="1" x14ac:dyDescent="0.25">
      <c r="A30" s="1"/>
      <c r="B30" s="96" t="s">
        <v>87</v>
      </c>
      <c r="C30" s="10">
        <f>SUM(C26:C29)</f>
        <v>827990.97666699591</v>
      </c>
      <c r="D30" s="11" t="s">
        <v>3</v>
      </c>
      <c r="E30" s="1"/>
    </row>
    <row r="31" spans="1:5" x14ac:dyDescent="0.25">
      <c r="A31" s="1"/>
      <c r="B31" s="33" t="s">
        <v>143</v>
      </c>
      <c r="C31" s="28"/>
      <c r="D31" s="19"/>
      <c r="E31" s="1"/>
    </row>
    <row r="32" spans="1:5" x14ac:dyDescent="0.25">
      <c r="A32" s="1"/>
      <c r="B32" s="31" t="s">
        <v>181</v>
      </c>
      <c r="C32" s="10">
        <f>'Fane 7. Kontrol af ØR2021'!E28</f>
        <v>0</v>
      </c>
      <c r="D32" s="11" t="s">
        <v>3</v>
      </c>
      <c r="E32" s="1"/>
    </row>
    <row r="33" spans="1:5" ht="15" customHeight="1" x14ac:dyDescent="0.25">
      <c r="A33" s="1"/>
      <c r="B33" s="33" t="s">
        <v>186</v>
      </c>
      <c r="C33" s="28"/>
      <c r="D33" s="19"/>
      <c r="E33" s="1"/>
    </row>
    <row r="34" spans="1:5" x14ac:dyDescent="0.25">
      <c r="A34" s="1"/>
      <c r="B34" s="31" t="s">
        <v>186</v>
      </c>
      <c r="C34" s="10">
        <f>'Fane 9. Korrektion af ØR2021'!E17</f>
        <v>0</v>
      </c>
      <c r="D34" s="11" t="s">
        <v>3</v>
      </c>
      <c r="E34" s="1"/>
    </row>
    <row r="35" spans="1:5" x14ac:dyDescent="0.25">
      <c r="A35" s="1"/>
      <c r="B35" s="30" t="s">
        <v>175</v>
      </c>
      <c r="C35" s="28"/>
      <c r="D35" s="19"/>
      <c r="E35" s="1"/>
    </row>
    <row r="36" spans="1:5" x14ac:dyDescent="0.25">
      <c r="A36" s="1"/>
      <c r="B36" s="96" t="s">
        <v>176</v>
      </c>
      <c r="C36" s="10">
        <f>'Fane 8. Skattesagen'!G12</f>
        <v>0</v>
      </c>
      <c r="D36" s="11" t="s">
        <v>3</v>
      </c>
      <c r="E36" s="1"/>
    </row>
    <row r="37" spans="1:5" x14ac:dyDescent="0.25">
      <c r="A37" s="1"/>
      <c r="B37" s="33" t="s">
        <v>90</v>
      </c>
      <c r="C37" s="61">
        <f>SUM(C34,C32,C24,C30,C22,C20,C36)</f>
        <v>264995064.5265207</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N7tFy012vtmMQ4gC0Rpj3KOO8+cf7ayBnACvy9VoEcFJJwzhs2XkW3Prk3/cyo+1IMi71R9BtMxAzo7gTNmbHQ==" saltValue="8xEh1/LFeuw5lDHYTLOM8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7" t="s">
        <v>263</v>
      </c>
      <c r="C3" s="137"/>
      <c r="D3" s="1"/>
    </row>
    <row r="4" spans="1:4" ht="25.5" customHeight="1" x14ac:dyDescent="0.25">
      <c r="A4" s="1"/>
      <c r="B4" s="137"/>
      <c r="C4" s="13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93" t="s">
        <v>112</v>
      </c>
      <c r="C9" s="25">
        <v>1.2699999999999999E-2</v>
      </c>
      <c r="D9" s="1"/>
    </row>
    <row r="10" spans="1:4" x14ac:dyDescent="0.25">
      <c r="A10" s="1"/>
      <c r="B10" s="93" t="s">
        <v>113</v>
      </c>
      <c r="C10" s="25">
        <v>1.7500000000000002E-2</v>
      </c>
      <c r="D10" s="1"/>
    </row>
    <row r="11" spans="1:4" x14ac:dyDescent="0.25">
      <c r="A11" s="1"/>
      <c r="B11" s="93" t="s">
        <v>23</v>
      </c>
      <c r="C11" s="25">
        <v>1.6899999999999998E-2</v>
      </c>
      <c r="D11" s="1"/>
    </row>
    <row r="12" spans="1:4" x14ac:dyDescent="0.25">
      <c r="A12" s="1"/>
      <c r="B12" s="34" t="s">
        <v>172</v>
      </c>
      <c r="C12" s="35">
        <v>1.9699999999999999E-2</v>
      </c>
      <c r="D12" s="1"/>
    </row>
    <row r="13" spans="1:4" x14ac:dyDescent="0.25">
      <c r="A13" s="1"/>
      <c r="B13" s="34" t="s">
        <v>135</v>
      </c>
      <c r="C13" s="35">
        <v>1.2200000000000001E-2</v>
      </c>
      <c r="D13" s="1"/>
    </row>
    <row r="14" spans="1:4" x14ac:dyDescent="0.25">
      <c r="A14" s="1"/>
      <c r="B14" s="93" t="s">
        <v>171</v>
      </c>
      <c r="C14" s="43">
        <v>3.3E-3</v>
      </c>
      <c r="D14" s="1"/>
    </row>
    <row r="15" spans="1:4" x14ac:dyDescent="0.25">
      <c r="A15" s="1"/>
      <c r="B15" s="34" t="s">
        <v>225</v>
      </c>
      <c r="C15" s="75">
        <v>3.56E-2</v>
      </c>
      <c r="D15" s="1"/>
    </row>
    <row r="16" spans="1:4" x14ac:dyDescent="0.25">
      <c r="A16" s="1"/>
      <c r="B16" s="33"/>
      <c r="C16" s="19"/>
      <c r="D16" s="1"/>
    </row>
    <row r="17" spans="1:4" x14ac:dyDescent="0.25">
      <c r="A17" s="1"/>
      <c r="B17" s="1"/>
      <c r="C17" s="1"/>
      <c r="D17" s="1"/>
    </row>
    <row r="18" spans="1:4" x14ac:dyDescent="0.25">
      <c r="A18" s="1"/>
      <c r="B18" s="1"/>
      <c r="C18" s="1"/>
      <c r="D18" s="1"/>
    </row>
    <row r="19" spans="1:4" x14ac:dyDescent="0.25">
      <c r="A19" s="1"/>
      <c r="B19" s="33" t="s">
        <v>103</v>
      </c>
      <c r="C19" s="19"/>
      <c r="D19" s="1"/>
    </row>
    <row r="20" spans="1:4" x14ac:dyDescent="0.25">
      <c r="A20" s="1"/>
      <c r="B20" s="93" t="s">
        <v>114</v>
      </c>
      <c r="C20" s="22">
        <v>9.1000000000000004E-3</v>
      </c>
      <c r="D20" s="1"/>
    </row>
    <row r="21" spans="1:4" x14ac:dyDescent="0.25">
      <c r="A21" s="1"/>
      <c r="B21" s="93" t="s">
        <v>145</v>
      </c>
      <c r="C21" s="22">
        <v>1.77E-2</v>
      </c>
      <c r="D21" s="1"/>
    </row>
    <row r="22" spans="1:4" x14ac:dyDescent="0.25">
      <c r="A22" s="1"/>
      <c r="B22" s="93" t="s">
        <v>146</v>
      </c>
      <c r="C22" s="22">
        <v>8.6999999999999994E-3</v>
      </c>
      <c r="D22" s="1"/>
    </row>
    <row r="23" spans="1:4" x14ac:dyDescent="0.25">
      <c r="A23" s="1"/>
      <c r="B23" s="93" t="s">
        <v>115</v>
      </c>
      <c r="C23" s="36">
        <v>2.8400000000000002E-2</v>
      </c>
      <c r="D23" s="1"/>
    </row>
    <row r="24" spans="1:4" x14ac:dyDescent="0.25">
      <c r="A24" s="1"/>
      <c r="B24" s="93" t="s">
        <v>147</v>
      </c>
      <c r="C24" s="36">
        <v>2.75E-2</v>
      </c>
      <c r="D24" s="1"/>
    </row>
    <row r="25" spans="1:4" x14ac:dyDescent="0.25">
      <c r="A25" s="1"/>
      <c r="B25" s="93" t="s">
        <v>148</v>
      </c>
      <c r="C25" s="36">
        <v>1.4800000000000001E-2</v>
      </c>
      <c r="D25" s="1"/>
    </row>
    <row r="26" spans="1:4" x14ac:dyDescent="0.25">
      <c r="A26" s="1"/>
      <c r="B26" s="34" t="s">
        <v>217</v>
      </c>
      <c r="C26" s="76">
        <v>0</v>
      </c>
      <c r="D26" s="1"/>
    </row>
    <row r="27" spans="1:4" x14ac:dyDescent="0.25">
      <c r="A27" s="1"/>
      <c r="B27" s="33"/>
      <c r="C27" s="19"/>
      <c r="D27" s="1"/>
    </row>
    <row r="28" spans="1:4" x14ac:dyDescent="0.25">
      <c r="A28" s="1"/>
      <c r="B28" s="1"/>
      <c r="C28" s="1"/>
      <c r="D28" s="1"/>
    </row>
    <row r="29" spans="1:4" x14ac:dyDescent="0.25">
      <c r="A29" s="1"/>
      <c r="B29" s="1"/>
      <c r="C29" s="1"/>
      <c r="D29" s="1"/>
    </row>
    <row r="30" spans="1:4" x14ac:dyDescent="0.25">
      <c r="A30" s="1"/>
      <c r="B30" s="33" t="s">
        <v>104</v>
      </c>
      <c r="C30" s="19"/>
      <c r="D30" s="1"/>
    </row>
    <row r="31" spans="1:4" x14ac:dyDescent="0.25">
      <c r="A31" s="1"/>
      <c r="B31" s="93" t="s">
        <v>116</v>
      </c>
      <c r="C31" s="25">
        <v>0.02</v>
      </c>
      <c r="D31" s="1"/>
    </row>
    <row r="32" spans="1:4" x14ac:dyDescent="0.25">
      <c r="A32" s="1"/>
      <c r="B32" s="33"/>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53"/>
      <c r="B50" s="53"/>
      <c r="C50" s="53"/>
      <c r="D50" s="53"/>
    </row>
    <row r="51" spans="1:4" x14ac:dyDescent="0.25">
      <c r="A51" s="53"/>
      <c r="B51" s="53"/>
      <c r="C51" s="53"/>
      <c r="D51" s="53"/>
    </row>
    <row r="52" spans="1:4" x14ac:dyDescent="0.25">
      <c r="A52" s="53"/>
      <c r="B52" s="53"/>
      <c r="C52" s="53"/>
      <c r="D52" s="53"/>
    </row>
    <row r="53" spans="1:4" x14ac:dyDescent="0.25">
      <c r="A53" s="53"/>
      <c r="B53" s="53"/>
      <c r="C53" s="53"/>
      <c r="D53" s="53"/>
    </row>
  </sheetData>
  <sheetProtection algorithmName="SHA-512" hashValue="1hsS122mbqmHjnMnf59RJIct1WQlS1R0eO3bUI5unlgZH04p6MhjtHoZzsh+BRiV/GOji21mILasN8duTQ0ibA==" saltValue="Eu/NtxbFfFU4BtOfMdvIb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1" t="s">
        <v>187</v>
      </c>
      <c r="C3" s="121"/>
      <c r="D3" s="121"/>
      <c r="E3" s="1"/>
    </row>
    <row r="4" spans="1:5" ht="15" customHeight="1" x14ac:dyDescent="0.25">
      <c r="A4" s="1"/>
      <c r="B4" s="121"/>
      <c r="C4" s="121"/>
      <c r="D4" s="121"/>
      <c r="E4" s="1"/>
    </row>
    <row r="5" spans="1:5" x14ac:dyDescent="0.25">
      <c r="A5" s="1"/>
      <c r="B5" s="122" t="s">
        <v>22</v>
      </c>
      <c r="C5" s="122"/>
      <c r="D5" s="122"/>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127</v>
      </c>
      <c r="C9" s="7">
        <f>'Fane 2.1. Økonomisk ramme 2023'!C20</f>
        <v>255415478.62189379</v>
      </c>
      <c r="D9" s="8" t="s">
        <v>3</v>
      </c>
      <c r="E9" s="1"/>
    </row>
    <row r="10" spans="1:5" ht="15" customHeight="1" x14ac:dyDescent="0.25">
      <c r="A10" s="1"/>
      <c r="B10" s="26" t="s">
        <v>19</v>
      </c>
      <c r="C10" s="7">
        <f>SUM(C9:C9)*'Fane 15. Nøgletal'!C15</f>
        <v>9092791.0389394183</v>
      </c>
      <c r="D10" s="8" t="s">
        <v>3</v>
      </c>
      <c r="E10" s="1"/>
    </row>
    <row r="11" spans="1:5" ht="15" customHeight="1" x14ac:dyDescent="0.25">
      <c r="A11" s="1"/>
      <c r="B11" s="26" t="s">
        <v>10</v>
      </c>
      <c r="C11" s="9">
        <f>-SUM(C9:C10)*'Fane 5. Individuelt eff. krav'!G9</f>
        <v>-2685713.1357178558</v>
      </c>
      <c r="D11" s="8" t="s">
        <v>3</v>
      </c>
      <c r="E11" s="1"/>
    </row>
    <row r="12" spans="1:5" ht="15" customHeight="1" x14ac:dyDescent="0.25">
      <c r="A12" s="1"/>
      <c r="B12" s="26" t="s">
        <v>24</v>
      </c>
      <c r="C12" s="9">
        <f>-'Fane 4.1. Gen. krav - drift'!G53</f>
        <v>-1886967.8041591961</v>
      </c>
      <c r="D12" s="8" t="s">
        <v>3</v>
      </c>
      <c r="E12" s="1"/>
    </row>
    <row r="13" spans="1:5" ht="15" customHeight="1" x14ac:dyDescent="0.25">
      <c r="A13" s="1"/>
      <c r="B13" s="26" t="s">
        <v>25</v>
      </c>
      <c r="C13" s="9">
        <f>-'Fane 4.2. Gen. krav - anlæg'!G55</f>
        <v>0</v>
      </c>
      <c r="D13" s="8" t="s">
        <v>3</v>
      </c>
      <c r="E13" s="1"/>
    </row>
    <row r="14" spans="1:5" ht="15" customHeight="1" x14ac:dyDescent="0.25">
      <c r="A14" s="1"/>
      <c r="B14" s="27" t="s">
        <v>21</v>
      </c>
      <c r="C14" s="10">
        <f>SUM(C9:C13)</f>
        <v>259935588.72095615</v>
      </c>
      <c r="D14" s="11" t="s">
        <v>3</v>
      </c>
      <c r="E14" s="1"/>
    </row>
    <row r="15" spans="1:5" x14ac:dyDescent="0.25">
      <c r="A15" s="1"/>
      <c r="B15" s="33" t="s">
        <v>12</v>
      </c>
      <c r="C15" s="28"/>
      <c r="D15" s="19"/>
      <c r="E15" s="1"/>
    </row>
    <row r="16" spans="1:5" ht="15" customHeight="1" x14ac:dyDescent="0.25">
      <c r="A16" s="1"/>
      <c r="B16" s="31" t="s">
        <v>12</v>
      </c>
      <c r="C16" s="10">
        <f>'Fane 6. Ikke-påvirkelige omk.'!C16*(1+'Fane 15. Nøgletal'!C15)+'Fane 6. Ikke-påvirkelige omk.'!C21+'Fane 6. Ikke-påvirkelige omk.'!C29</f>
        <v>7977497.9073531348</v>
      </c>
      <c r="D16" s="11" t="s">
        <v>3</v>
      </c>
      <c r="E16" s="1"/>
    </row>
    <row r="17" spans="1:5" ht="15" customHeight="1" x14ac:dyDescent="0.25">
      <c r="A17" s="1"/>
      <c r="B17" s="33" t="s">
        <v>86</v>
      </c>
      <c r="C17" s="28"/>
      <c r="D17" s="19"/>
      <c r="E17" s="1"/>
    </row>
    <row r="18" spans="1:5" ht="15" customHeight="1" x14ac:dyDescent="0.25">
      <c r="A18" s="1"/>
      <c r="B18" s="88" t="s">
        <v>86</v>
      </c>
      <c r="C18" s="10">
        <f>'Fane 12. Periodevise driftsomk.'!E19</f>
        <v>1085653.8000421405</v>
      </c>
      <c r="D18" s="11" t="s">
        <v>3</v>
      </c>
      <c r="E18" s="1"/>
    </row>
    <row r="19" spans="1:5" x14ac:dyDescent="0.25">
      <c r="A19" s="1"/>
      <c r="B19" s="33" t="s">
        <v>143</v>
      </c>
      <c r="C19" s="28"/>
      <c r="D19" s="19"/>
      <c r="E19" s="1"/>
    </row>
    <row r="20" spans="1:5" ht="15" customHeight="1" x14ac:dyDescent="0.25">
      <c r="A20" s="1"/>
      <c r="B20" s="31" t="s">
        <v>181</v>
      </c>
      <c r="C20" s="10">
        <f>'Fane 7. Kontrol af ØR2021'!E34</f>
        <v>-2836529.3202142343</v>
      </c>
      <c r="D20" s="11" t="s">
        <v>3</v>
      </c>
      <c r="E20" s="1"/>
    </row>
    <row r="21" spans="1:5" x14ac:dyDescent="0.25">
      <c r="A21" s="1"/>
      <c r="B21" s="30" t="s">
        <v>175</v>
      </c>
      <c r="C21" s="28"/>
      <c r="D21" s="19"/>
      <c r="E21" s="1"/>
    </row>
    <row r="22" spans="1:5" x14ac:dyDescent="0.25">
      <c r="A22" s="1"/>
      <c r="B22" s="96" t="s">
        <v>176</v>
      </c>
      <c r="C22" s="10">
        <f>'Fane 8. Skattesagen'!G13</f>
        <v>0</v>
      </c>
      <c r="D22" s="11" t="s">
        <v>3</v>
      </c>
      <c r="E22" s="1"/>
    </row>
    <row r="23" spans="1:5" x14ac:dyDescent="0.25">
      <c r="A23" s="1"/>
      <c r="B23" s="33" t="s">
        <v>128</v>
      </c>
      <c r="C23" s="12">
        <f>SUM(C14,C16,C18,C20,C22)</f>
        <v>266162211.10813716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fokZwSHpHn8OxgnNe4O1fv3+1bWEaBKkLmw4cFSUEXMhA90xdLudI639qsqaoyjveXAn4kRoMFIXX3RTX/QzkQ==" saltValue="UD4MVgRJUWZIcBiFMd/wB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1" t="s">
        <v>188</v>
      </c>
      <c r="C3" s="121"/>
      <c r="D3" s="121"/>
      <c r="E3" s="1"/>
    </row>
    <row r="4" spans="1:5" ht="15" customHeight="1" x14ac:dyDescent="0.25">
      <c r="A4" s="1"/>
      <c r="B4" s="121"/>
      <c r="C4" s="121"/>
      <c r="D4" s="121"/>
      <c r="E4" s="1"/>
    </row>
    <row r="5" spans="1:5" x14ac:dyDescent="0.25">
      <c r="A5" s="1"/>
      <c r="B5" s="122" t="s">
        <v>22</v>
      </c>
      <c r="C5" s="122"/>
      <c r="D5" s="122"/>
      <c r="E5" s="1"/>
    </row>
    <row r="6" spans="1:5" x14ac:dyDescent="0.25">
      <c r="A6" s="1"/>
      <c r="B6" s="80"/>
      <c r="C6" s="80"/>
      <c r="D6" s="80"/>
      <c r="E6" s="1"/>
    </row>
    <row r="7" spans="1:5" x14ac:dyDescent="0.25">
      <c r="A7" s="1"/>
      <c r="B7" s="1"/>
      <c r="C7" s="1"/>
      <c r="D7" s="1"/>
      <c r="E7" s="1"/>
    </row>
    <row r="8" spans="1:5" x14ac:dyDescent="0.25">
      <c r="A8" s="1"/>
      <c r="B8" s="33" t="s">
        <v>13</v>
      </c>
      <c r="C8" s="28"/>
      <c r="D8" s="19"/>
      <c r="E8" s="1"/>
    </row>
    <row r="9" spans="1:5" ht="15" customHeight="1" x14ac:dyDescent="0.25">
      <c r="A9" s="1"/>
      <c r="B9" s="29" t="s">
        <v>235</v>
      </c>
      <c r="C9" s="7">
        <f>'Fane 2.2. Økonomisk ramme 2024'!C14</f>
        <v>259935588.72095615</v>
      </c>
      <c r="D9" s="8" t="s">
        <v>3</v>
      </c>
      <c r="E9" s="1"/>
    </row>
    <row r="10" spans="1:5" ht="15" customHeight="1" x14ac:dyDescent="0.25">
      <c r="A10" s="1"/>
      <c r="B10" s="26" t="s">
        <v>19</v>
      </c>
      <c r="C10" s="7">
        <f>SUM(C9:C9)*'Fane 15. Nøgletal'!C15</f>
        <v>9253706.9584660381</v>
      </c>
      <c r="D10" s="8" t="s">
        <v>3</v>
      </c>
      <c r="E10" s="1"/>
    </row>
    <row r="11" spans="1:5" ht="15" customHeight="1" x14ac:dyDescent="0.25">
      <c r="A11" s="1"/>
      <c r="B11" s="26" t="s">
        <v>10</v>
      </c>
      <c r="C11" s="9">
        <f>-SUM(C9:C10)*'Fane 5. Individuelt eff. krav'!G9</f>
        <v>-2733242.4363438128</v>
      </c>
      <c r="D11" s="8" t="s">
        <v>3</v>
      </c>
      <c r="E11" s="1"/>
    </row>
    <row r="12" spans="1:5" ht="15" customHeight="1" x14ac:dyDescent="0.25">
      <c r="A12" s="1"/>
      <c r="B12" s="26" t="s">
        <v>24</v>
      </c>
      <c r="C12" s="9">
        <f>-'Fane 4.1. Gen. krav - drift'!G58</f>
        <v>-1915060.9808275185</v>
      </c>
      <c r="D12" s="8" t="s">
        <v>3</v>
      </c>
      <c r="E12" s="1"/>
    </row>
    <row r="13" spans="1:5" ht="15" customHeight="1" x14ac:dyDescent="0.25">
      <c r="A13" s="1"/>
      <c r="B13" s="26" t="s">
        <v>25</v>
      </c>
      <c r="C13" s="9">
        <f>-'Fane 4.2. Gen. krav - anlæg'!G60</f>
        <v>0</v>
      </c>
      <c r="D13" s="8" t="s">
        <v>3</v>
      </c>
      <c r="E13" s="1"/>
    </row>
    <row r="14" spans="1:5" x14ac:dyDescent="0.25">
      <c r="A14" s="1"/>
      <c r="B14" s="27" t="s">
        <v>21</v>
      </c>
      <c r="C14" s="10">
        <f>SUM(C9:C13)</f>
        <v>264540992.26225087</v>
      </c>
      <c r="D14" s="11" t="s">
        <v>3</v>
      </c>
      <c r="E14" s="1"/>
    </row>
    <row r="15" spans="1:5" x14ac:dyDescent="0.25">
      <c r="A15" s="1"/>
      <c r="B15" s="33" t="s">
        <v>12</v>
      </c>
      <c r="C15" s="28"/>
      <c r="D15" s="19"/>
      <c r="E15" s="1"/>
    </row>
    <row r="16" spans="1:5" ht="15" customHeight="1" x14ac:dyDescent="0.25">
      <c r="A16" s="1"/>
      <c r="B16" s="31" t="s">
        <v>12</v>
      </c>
      <c r="C16" s="10">
        <f>'Fane 6. Ikke-påvirkelige omk.'!C16*(1+'Fane 15. Nøgletal'!C15)^2+'Fane 6. Ikke-påvirkelige omk.'!C22+'Fane 6. Ikke-påvirkelige omk.'!C30</f>
        <v>8261496.832854907</v>
      </c>
      <c r="D16" s="11" t="s">
        <v>3</v>
      </c>
      <c r="E16" s="1"/>
    </row>
    <row r="17" spans="1:5" ht="15" customHeight="1" x14ac:dyDescent="0.25">
      <c r="A17" s="1"/>
      <c r="B17" s="33" t="s">
        <v>86</v>
      </c>
      <c r="C17" s="28"/>
      <c r="D17" s="19"/>
      <c r="E17" s="1"/>
    </row>
    <row r="18" spans="1:5" ht="15" customHeight="1" x14ac:dyDescent="0.25">
      <c r="A18" s="1"/>
      <c r="B18" s="88" t="s">
        <v>86</v>
      </c>
      <c r="C18" s="10">
        <f>'Fane 12. Periodevise driftsomk.'!E25</f>
        <v>1124303.0753236408</v>
      </c>
      <c r="D18" s="11" t="s">
        <v>3</v>
      </c>
      <c r="E18" s="1"/>
    </row>
    <row r="19" spans="1:5" ht="15" customHeight="1" x14ac:dyDescent="0.25">
      <c r="A19" s="1"/>
      <c r="B19" s="33" t="s">
        <v>143</v>
      </c>
      <c r="C19" s="28"/>
      <c r="D19" s="19"/>
      <c r="E19" s="1"/>
    </row>
    <row r="20" spans="1:5" ht="15" customHeight="1" x14ac:dyDescent="0.25">
      <c r="A20" s="1"/>
      <c r="B20" s="31" t="s">
        <v>181</v>
      </c>
      <c r="C20" s="10">
        <f>'Fane 7. Kontrol af ØR2021'!E34</f>
        <v>-2836529.3202142343</v>
      </c>
      <c r="D20" s="11" t="s">
        <v>3</v>
      </c>
      <c r="E20" s="1"/>
    </row>
    <row r="21" spans="1:5" x14ac:dyDescent="0.25">
      <c r="A21" s="1"/>
      <c r="B21" s="30" t="s">
        <v>175</v>
      </c>
      <c r="C21" s="28"/>
      <c r="D21" s="19"/>
      <c r="E21" s="1"/>
    </row>
    <row r="22" spans="1:5" x14ac:dyDescent="0.25">
      <c r="A22" s="1"/>
      <c r="B22" s="96" t="s">
        <v>176</v>
      </c>
      <c r="C22" s="10">
        <f>'Fane 8. Skattesagen'!G14</f>
        <v>0</v>
      </c>
      <c r="D22" s="11" t="s">
        <v>3</v>
      </c>
      <c r="E22" s="1"/>
    </row>
    <row r="23" spans="1:5" x14ac:dyDescent="0.25">
      <c r="A23" s="1"/>
      <c r="B23" s="33" t="s">
        <v>149</v>
      </c>
      <c r="C23" s="12">
        <f>SUM(C14,C16,C18,C20,C22)</f>
        <v>271090262.8502152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ImCDjzr8MXFp/igFfaG2wzjx8GNMxj+NvdnwYn6r4UYmgWUM2+plLtpFwNfndF+5zJMLYxaVaIUHJ6qAoo1gMQ==" saltValue="j8TGTBKPHP8e01bPDjgNJ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1" t="s">
        <v>189</v>
      </c>
      <c r="C3" s="121"/>
      <c r="D3" s="121"/>
      <c r="E3" s="1"/>
    </row>
    <row r="4" spans="1:5" ht="15" customHeight="1" x14ac:dyDescent="0.25">
      <c r="A4" s="1"/>
      <c r="B4" s="121"/>
      <c r="C4" s="121"/>
      <c r="D4" s="121"/>
      <c r="E4" s="1"/>
    </row>
    <row r="5" spans="1:5" x14ac:dyDescent="0.25">
      <c r="A5" s="1"/>
      <c r="B5" s="122" t="s">
        <v>22</v>
      </c>
      <c r="C5" s="122"/>
      <c r="D5" s="122"/>
      <c r="E5" s="1"/>
    </row>
    <row r="6" spans="1:5" x14ac:dyDescent="0.25">
      <c r="A6" s="1"/>
      <c r="B6" s="80"/>
      <c r="C6" s="80"/>
      <c r="D6" s="80"/>
      <c r="E6" s="1"/>
    </row>
    <row r="7" spans="1:5" x14ac:dyDescent="0.25">
      <c r="A7" s="1"/>
      <c r="B7" s="1"/>
      <c r="C7" s="1"/>
      <c r="D7" s="1"/>
      <c r="E7" s="1"/>
    </row>
    <row r="8" spans="1:5" x14ac:dyDescent="0.25">
      <c r="A8" s="1"/>
      <c r="B8" s="33" t="s">
        <v>13</v>
      </c>
      <c r="C8" s="28"/>
      <c r="D8" s="19"/>
      <c r="E8" s="1"/>
    </row>
    <row r="9" spans="1:5" ht="15" customHeight="1" x14ac:dyDescent="0.25">
      <c r="A9" s="1"/>
      <c r="B9" s="29" t="s">
        <v>190</v>
      </c>
      <c r="C9" s="7">
        <f>'Fane 2.3. Økonomisk ramme 2025'!C14</f>
        <v>264540992.26225087</v>
      </c>
      <c r="D9" s="8" t="s">
        <v>3</v>
      </c>
      <c r="E9" s="1"/>
    </row>
    <row r="10" spans="1:5" ht="15" customHeight="1" x14ac:dyDescent="0.25">
      <c r="A10" s="1"/>
      <c r="B10" s="26" t="s">
        <v>19</v>
      </c>
      <c r="C10" s="7">
        <f>SUM(C9:C9)*'Fane 15. Nøgletal'!C15</f>
        <v>9417659.3245361317</v>
      </c>
      <c r="D10" s="8" t="s">
        <v>3</v>
      </c>
      <c r="E10" s="1"/>
    </row>
    <row r="11" spans="1:5" ht="15" customHeight="1" x14ac:dyDescent="0.25">
      <c r="A11" s="1"/>
      <c r="B11" s="26" t="s">
        <v>10</v>
      </c>
      <c r="C11" s="9">
        <f>-SUM(C9:C10)*'Fane 5. Individuelt eff. krav'!G9</f>
        <v>-2781668.603985935</v>
      </c>
      <c r="D11" s="8" t="s">
        <v>3</v>
      </c>
      <c r="E11" s="1"/>
    </row>
    <row r="12" spans="1:5" ht="15" customHeight="1" x14ac:dyDescent="0.25">
      <c r="A12" s="1"/>
      <c r="B12" s="26" t="s">
        <v>24</v>
      </c>
      <c r="C12" s="9">
        <f>-'Fane 4.1. Gen. krav - drift'!G63</f>
        <v>-1943572.4087100786</v>
      </c>
      <c r="D12" s="8" t="s">
        <v>3</v>
      </c>
      <c r="E12" s="1"/>
    </row>
    <row r="13" spans="1:5" ht="15" customHeight="1" x14ac:dyDescent="0.25">
      <c r="A13" s="1"/>
      <c r="B13" s="26" t="s">
        <v>25</v>
      </c>
      <c r="C13" s="9">
        <f>-'Fane 4.2. Gen. krav - anlæg'!G65</f>
        <v>0</v>
      </c>
      <c r="D13" s="8" t="s">
        <v>3</v>
      </c>
      <c r="E13" s="1"/>
    </row>
    <row r="14" spans="1:5" ht="14.25" customHeight="1" x14ac:dyDescent="0.25">
      <c r="A14" s="1"/>
      <c r="B14" s="27" t="s">
        <v>21</v>
      </c>
      <c r="C14" s="10">
        <f>SUM(C9:C13)</f>
        <v>269233410.57409102</v>
      </c>
      <c r="D14" s="11" t="s">
        <v>3</v>
      </c>
      <c r="E14" s="1"/>
    </row>
    <row r="15" spans="1:5" x14ac:dyDescent="0.25">
      <c r="A15" s="1"/>
      <c r="B15" s="33" t="s">
        <v>12</v>
      </c>
      <c r="C15" s="28"/>
      <c r="D15" s="19"/>
      <c r="E15" s="1"/>
    </row>
    <row r="16" spans="1:5" ht="15" customHeight="1" x14ac:dyDescent="0.25">
      <c r="A16" s="1"/>
      <c r="B16" s="31" t="s">
        <v>12</v>
      </c>
      <c r="C16" s="10">
        <f>'Fane 6. Ikke-påvirkelige omk.'!C16*(1+'Fane 15. Nøgletal'!C15)^3+'Fane 6. Ikke-påvirkelige omk.'!C23+'Fane 6. Ikke-påvirkelige omk.'!C31</f>
        <v>8555606.120104542</v>
      </c>
      <c r="D16" s="11" t="s">
        <v>3</v>
      </c>
      <c r="E16" s="1"/>
    </row>
    <row r="17" spans="1:5" ht="15" customHeight="1" x14ac:dyDescent="0.25">
      <c r="A17" s="1"/>
      <c r="B17" s="33" t="s">
        <v>86</v>
      </c>
      <c r="C17" s="28"/>
      <c r="D17" s="19"/>
      <c r="E17" s="1"/>
    </row>
    <row r="18" spans="1:5" ht="15" customHeight="1" x14ac:dyDescent="0.25">
      <c r="A18" s="1"/>
      <c r="B18" s="88" t="s">
        <v>86</v>
      </c>
      <c r="C18" s="10">
        <f>'Fane 12. Periodevise driftsomk.'!E31</f>
        <v>1164328.2648051623</v>
      </c>
      <c r="D18" s="11" t="s">
        <v>3</v>
      </c>
      <c r="E18" s="1"/>
    </row>
    <row r="19" spans="1:5" ht="15" customHeight="1" x14ac:dyDescent="0.25">
      <c r="A19" s="1"/>
      <c r="B19" s="33" t="s">
        <v>143</v>
      </c>
      <c r="C19" s="28"/>
      <c r="D19" s="19"/>
      <c r="E19" s="1"/>
    </row>
    <row r="20" spans="1:5" ht="15" customHeight="1" x14ac:dyDescent="0.25">
      <c r="A20" s="1"/>
      <c r="B20" s="31" t="s">
        <v>181</v>
      </c>
      <c r="C20" s="10">
        <f>'Fane 7. Kontrol af ØR2021'!E34</f>
        <v>-2836529.3202142343</v>
      </c>
      <c r="D20" s="11" t="s">
        <v>3</v>
      </c>
      <c r="E20" s="1"/>
    </row>
    <row r="21" spans="1:5" x14ac:dyDescent="0.25">
      <c r="A21" s="1"/>
      <c r="B21" s="30" t="s">
        <v>175</v>
      </c>
      <c r="C21" s="28"/>
      <c r="D21" s="19"/>
      <c r="E21" s="1"/>
    </row>
    <row r="22" spans="1:5" x14ac:dyDescent="0.25">
      <c r="A22" s="1"/>
      <c r="B22" s="96" t="s">
        <v>176</v>
      </c>
      <c r="C22" s="10">
        <f>'Fane 8. Skattesagen'!G15</f>
        <v>0</v>
      </c>
      <c r="D22" s="11" t="s">
        <v>3</v>
      </c>
      <c r="E22" s="1"/>
    </row>
    <row r="23" spans="1:5" x14ac:dyDescent="0.25">
      <c r="A23" s="1"/>
      <c r="B23" s="33" t="s">
        <v>191</v>
      </c>
      <c r="C23" s="12">
        <f>SUM(C14,C16,C18,C20,C22)</f>
        <v>276116815.63878649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OB7floBoM3oFDeM7UXOfkQ/6uL5UmyQiNt6AlQvdlOzMRYLw2pt/diNaGFZXbJAOcvFsEP3S9jVoeYK4q7pFIw==" saltValue="P65o7hu0792Uw7kRYgiZU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7" t="s">
        <v>192</v>
      </c>
      <c r="C3" s="137"/>
      <c r="D3" s="137"/>
      <c r="E3" s="137"/>
      <c r="F3" s="137"/>
      <c r="G3" s="1"/>
    </row>
    <row r="4" spans="1:7" ht="29.25" customHeight="1" x14ac:dyDescent="0.25">
      <c r="A4" s="1"/>
      <c r="B4" s="137"/>
      <c r="C4" s="137"/>
      <c r="D4" s="137"/>
      <c r="E4" s="137"/>
      <c r="F4" s="13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219</v>
      </c>
      <c r="C8" s="28"/>
      <c r="D8" s="28"/>
      <c r="E8" s="28"/>
      <c r="F8" s="19"/>
      <c r="G8" s="1"/>
    </row>
    <row r="9" spans="1:7" ht="15" customHeight="1" x14ac:dyDescent="0.25">
      <c r="A9" s="1"/>
      <c r="B9" s="132" t="s">
        <v>193</v>
      </c>
      <c r="C9" s="133"/>
      <c r="D9" s="134"/>
      <c r="E9" s="7">
        <v>257121248.99026784</v>
      </c>
      <c r="F9" s="8" t="s">
        <v>3</v>
      </c>
      <c r="G9" s="1"/>
    </row>
    <row r="10" spans="1:7" ht="15" customHeight="1" x14ac:dyDescent="0.25">
      <c r="A10" s="1"/>
      <c r="B10" s="123" t="s">
        <v>39</v>
      </c>
      <c r="C10" s="124"/>
      <c r="D10" s="125"/>
      <c r="E10" s="7">
        <v>842706.78550000011</v>
      </c>
      <c r="F10" s="8" t="s">
        <v>3</v>
      </c>
      <c r="G10" s="1"/>
    </row>
    <row r="11" spans="1:7" ht="15" customHeight="1" x14ac:dyDescent="0.25">
      <c r="A11" s="1"/>
      <c r="B11" s="123" t="s">
        <v>40</v>
      </c>
      <c r="C11" s="124"/>
      <c r="D11" s="125"/>
      <c r="E11" s="9">
        <v>3883718.1152000003</v>
      </c>
      <c r="F11" s="8" t="s">
        <v>3</v>
      </c>
      <c r="G11" s="1"/>
    </row>
    <row r="12" spans="1:7" ht="15" customHeight="1" x14ac:dyDescent="0.25">
      <c r="A12" s="1"/>
      <c r="B12" s="123" t="s">
        <v>27</v>
      </c>
      <c r="C12" s="124"/>
      <c r="D12" s="125"/>
      <c r="E12" s="9">
        <v>0</v>
      </c>
      <c r="F12" s="8" t="s">
        <v>3</v>
      </c>
      <c r="G12" s="1"/>
    </row>
    <row r="13" spans="1:7" ht="15" customHeight="1" x14ac:dyDescent="0.25">
      <c r="A13" s="1"/>
      <c r="B13" s="132" t="s">
        <v>26</v>
      </c>
      <c r="C13" s="133"/>
      <c r="D13" s="134"/>
      <c r="E13" s="9">
        <v>0</v>
      </c>
      <c r="F13" s="8" t="s">
        <v>3</v>
      </c>
      <c r="G13" s="1"/>
    </row>
    <row r="14" spans="1:7" ht="15" customHeight="1" x14ac:dyDescent="0.25">
      <c r="A14" s="1"/>
      <c r="B14" s="132" t="s">
        <v>29</v>
      </c>
      <c r="C14" s="133"/>
      <c r="D14" s="134"/>
      <c r="E14" s="9">
        <v>0</v>
      </c>
      <c r="F14" s="8" t="s">
        <v>3</v>
      </c>
      <c r="G14" s="1"/>
    </row>
    <row r="15" spans="1:7" ht="15" customHeight="1" x14ac:dyDescent="0.25">
      <c r="A15" s="1"/>
      <c r="B15" s="132" t="s">
        <v>28</v>
      </c>
      <c r="C15" s="133"/>
      <c r="D15" s="134"/>
      <c r="E15" s="9">
        <v>0</v>
      </c>
      <c r="F15" s="8" t="s">
        <v>3</v>
      </c>
      <c r="G15" s="1"/>
    </row>
    <row r="16" spans="1:7" ht="15" customHeight="1" x14ac:dyDescent="0.25">
      <c r="A16" s="1"/>
      <c r="B16" s="132" t="s">
        <v>19</v>
      </c>
      <c r="C16" s="133"/>
      <c r="D16" s="134"/>
      <c r="E16" s="9">
        <f>SUM(E9:E15)*'Fane 15. Nøgletal'!C14</f>
        <v>864097.32384019392</v>
      </c>
      <c r="F16" s="8" t="s">
        <v>3</v>
      </c>
      <c r="G16" s="1"/>
    </row>
    <row r="17" spans="1:7" ht="15" customHeight="1" x14ac:dyDescent="0.25">
      <c r="A17" s="1"/>
      <c r="B17" s="132" t="s">
        <v>10</v>
      </c>
      <c r="C17" s="133"/>
      <c r="D17" s="134"/>
      <c r="E17" s="9">
        <v>-2667472.1957239071</v>
      </c>
      <c r="F17" s="8" t="s">
        <v>3</v>
      </c>
      <c r="G17" s="1"/>
    </row>
    <row r="18" spans="1:7" ht="15" customHeight="1" x14ac:dyDescent="0.25">
      <c r="A18" s="1"/>
      <c r="B18" s="132" t="s">
        <v>24</v>
      </c>
      <c r="C18" s="133"/>
      <c r="D18" s="134"/>
      <c r="E18" s="9">
        <f>-'Fane 4.1. Gen. krav - drift'!G39</f>
        <v>-1885944.4821310637</v>
      </c>
      <c r="F18" s="8" t="s">
        <v>3</v>
      </c>
      <c r="G18" s="1"/>
    </row>
    <row r="19" spans="1:7" ht="15" customHeight="1" x14ac:dyDescent="0.25">
      <c r="A19" s="1"/>
      <c r="B19" s="132" t="s">
        <v>25</v>
      </c>
      <c r="C19" s="133"/>
      <c r="D19" s="134"/>
      <c r="E19" s="9">
        <f>-'Fane 4.2. Gen. krav - anlæg'!G38</f>
        <v>-2590794.5278850282</v>
      </c>
      <c r="F19" s="8" t="s">
        <v>3</v>
      </c>
      <c r="G19" s="1"/>
    </row>
    <row r="20" spans="1:7" ht="15" customHeight="1" x14ac:dyDescent="0.25">
      <c r="A20" s="1"/>
      <c r="B20" s="58" t="s">
        <v>21</v>
      </c>
      <c r="C20" s="89"/>
      <c r="D20" s="97"/>
      <c r="E20" s="55">
        <f>SUM(E9:E19)</f>
        <v>255567560.00906804</v>
      </c>
      <c r="F20" s="57" t="s">
        <v>3</v>
      </c>
      <c r="G20" s="1"/>
    </row>
    <row r="21" spans="1:7" ht="15" customHeight="1" x14ac:dyDescent="0.25">
      <c r="A21" s="1"/>
      <c r="B21" s="33" t="s">
        <v>12</v>
      </c>
      <c r="C21" s="28"/>
      <c r="D21" s="28"/>
      <c r="E21" s="28"/>
      <c r="F21" s="19"/>
      <c r="G21" s="1"/>
    </row>
    <row r="22" spans="1:7" ht="15" customHeight="1" x14ac:dyDescent="0.25">
      <c r="A22" s="1"/>
      <c r="B22" s="126" t="s">
        <v>12</v>
      </c>
      <c r="C22" s="127"/>
      <c r="D22" s="128"/>
      <c r="E22" s="10">
        <v>7501884.4245882407</v>
      </c>
      <c r="F22" s="11" t="s">
        <v>3</v>
      </c>
      <c r="G22" s="1"/>
    </row>
    <row r="23" spans="1:7" ht="15" customHeight="1" x14ac:dyDescent="0.25">
      <c r="A23" s="1"/>
      <c r="B23" s="129" t="s">
        <v>86</v>
      </c>
      <c r="C23" s="130"/>
      <c r="D23" s="131"/>
      <c r="E23" s="28"/>
      <c r="F23" s="28"/>
      <c r="G23" s="1"/>
    </row>
    <row r="24" spans="1:7" ht="15" customHeight="1" x14ac:dyDescent="0.25">
      <c r="A24" s="1"/>
      <c r="B24" s="88" t="s">
        <v>86</v>
      </c>
      <c r="C24" s="38"/>
      <c r="D24" s="39"/>
      <c r="E24" s="10">
        <v>972099.05975420796</v>
      </c>
      <c r="F24" s="11" t="s">
        <v>3</v>
      </c>
      <c r="G24" s="1"/>
    </row>
    <row r="25" spans="1:7" x14ac:dyDescent="0.25">
      <c r="A25" s="1"/>
      <c r="B25" s="33" t="s">
        <v>85</v>
      </c>
      <c r="C25" s="28"/>
      <c r="D25" s="28"/>
      <c r="E25" s="28"/>
      <c r="F25" s="19"/>
      <c r="G25" s="1"/>
    </row>
    <row r="26" spans="1:7" ht="15" customHeight="1" x14ac:dyDescent="0.25">
      <c r="A26" s="1"/>
      <c r="B26" s="123" t="s">
        <v>81</v>
      </c>
      <c r="C26" s="124"/>
      <c r="D26" s="125"/>
      <c r="E26" s="9">
        <v>1502871.9748292579</v>
      </c>
      <c r="F26" s="8" t="s">
        <v>3</v>
      </c>
      <c r="G26" s="1"/>
    </row>
    <row r="27" spans="1:7" ht="15" customHeight="1" x14ac:dyDescent="0.25">
      <c r="A27" s="1"/>
      <c r="B27" s="123" t="s">
        <v>82</v>
      </c>
      <c r="C27" s="124"/>
      <c r="D27" s="124"/>
      <c r="E27" s="9">
        <v>0</v>
      </c>
      <c r="F27" s="8" t="s">
        <v>3</v>
      </c>
      <c r="G27" s="1"/>
    </row>
    <row r="28" spans="1:7" ht="15" customHeight="1" x14ac:dyDescent="0.25">
      <c r="A28" s="1"/>
      <c r="B28" s="135" t="s">
        <v>87</v>
      </c>
      <c r="C28" s="136"/>
      <c r="D28" s="136"/>
      <c r="E28" s="40">
        <f>SUM(E26:E27)</f>
        <v>1502871.9748292579</v>
      </c>
      <c r="F28" s="11" t="s">
        <v>3</v>
      </c>
      <c r="G28" s="1"/>
    </row>
    <row r="29" spans="1:7" ht="15" customHeight="1" x14ac:dyDescent="0.25">
      <c r="A29" s="1"/>
      <c r="B29" s="33" t="s">
        <v>143</v>
      </c>
      <c r="C29" s="33"/>
      <c r="D29" s="33"/>
      <c r="E29" s="28"/>
      <c r="F29" s="28"/>
      <c r="G29" s="1"/>
    </row>
    <row r="30" spans="1:7" ht="15" customHeight="1" x14ac:dyDescent="0.25">
      <c r="A30" s="1"/>
      <c r="B30" s="126" t="s">
        <v>142</v>
      </c>
      <c r="C30" s="127"/>
      <c r="D30" s="127"/>
      <c r="E30" s="40">
        <v>0</v>
      </c>
      <c r="F30" s="11" t="s">
        <v>3</v>
      </c>
      <c r="G30" s="1"/>
    </row>
    <row r="31" spans="1:7" x14ac:dyDescent="0.25">
      <c r="A31" s="1"/>
      <c r="B31" s="33" t="s">
        <v>123</v>
      </c>
      <c r="C31" s="28"/>
      <c r="D31" s="28"/>
      <c r="E31" s="28"/>
      <c r="F31" s="28"/>
      <c r="G31" s="1"/>
    </row>
    <row r="32" spans="1:7" ht="15.4" customHeight="1" x14ac:dyDescent="0.25">
      <c r="A32" s="1"/>
      <c r="B32" s="126" t="s">
        <v>123</v>
      </c>
      <c r="C32" s="127"/>
      <c r="D32" s="128"/>
      <c r="E32" s="10">
        <v>0</v>
      </c>
      <c r="F32" s="11" t="s">
        <v>3</v>
      </c>
      <c r="G32" s="1"/>
    </row>
    <row r="33" spans="1:7" ht="15.4" customHeight="1" x14ac:dyDescent="0.25">
      <c r="A33" s="1"/>
      <c r="B33" s="129" t="s">
        <v>175</v>
      </c>
      <c r="C33" s="130"/>
      <c r="D33" s="130"/>
      <c r="E33" s="130"/>
      <c r="F33" s="131"/>
      <c r="G33" s="1"/>
    </row>
    <row r="34" spans="1:7" ht="15.4" customHeight="1" x14ac:dyDescent="0.25">
      <c r="A34" s="1"/>
      <c r="B34" s="96" t="s">
        <v>176</v>
      </c>
      <c r="C34" s="10"/>
      <c r="D34" s="11"/>
      <c r="E34" s="10">
        <f>'Fane 8. Skattesagen'!G11</f>
        <v>0</v>
      </c>
      <c r="F34" s="11" t="s">
        <v>3</v>
      </c>
      <c r="G34" s="1"/>
    </row>
    <row r="35" spans="1:7" x14ac:dyDescent="0.25">
      <c r="A35" s="1"/>
      <c r="B35" s="59" t="s">
        <v>220</v>
      </c>
      <c r="C35" s="60"/>
      <c r="D35" s="19"/>
      <c r="E35" s="46">
        <f>SUM(E32,E30,E28,E24,E22,E20,E34)</f>
        <v>265544415.46823975</v>
      </c>
      <c r="F35" s="56" t="s">
        <v>3</v>
      </c>
      <c r="G35" s="1"/>
    </row>
    <row r="36" spans="1:7" ht="27" customHeight="1" x14ac:dyDescent="0.25">
      <c r="A36" s="1"/>
      <c r="B36" s="132" t="s">
        <v>224</v>
      </c>
      <c r="C36" s="133"/>
      <c r="D36" s="133"/>
      <c r="E36" s="133"/>
      <c r="F36" s="134"/>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53"/>
      <c r="B49" s="53"/>
      <c r="C49" s="53"/>
      <c r="D49" s="53"/>
      <c r="E49" s="53"/>
      <c r="F49" s="53"/>
      <c r="G49" s="53"/>
    </row>
    <row r="50" spans="1:7" x14ac:dyDescent="0.25">
      <c r="A50" s="53"/>
      <c r="B50" s="53"/>
      <c r="C50" s="53"/>
      <c r="D50" s="53"/>
      <c r="E50" s="53"/>
      <c r="F50" s="53"/>
      <c r="G50" s="53"/>
    </row>
    <row r="51" spans="1:7" x14ac:dyDescent="0.25">
      <c r="A51" s="53"/>
      <c r="B51" s="53"/>
      <c r="C51" s="53"/>
      <c r="D51" s="53"/>
      <c r="E51" s="53"/>
      <c r="F51" s="53"/>
      <c r="G51" s="53"/>
    </row>
    <row r="52" spans="1:7" x14ac:dyDescent="0.25">
      <c r="A52" s="53"/>
      <c r="B52" s="53"/>
      <c r="C52" s="53"/>
      <c r="D52" s="53"/>
      <c r="E52" s="53"/>
      <c r="F52" s="53"/>
      <c r="G52" s="53"/>
    </row>
  </sheetData>
  <sheetProtection algorithmName="SHA-512" hashValue="SEY9hnuSelYC+tNbL5f01keEoqp7OMryny7eUBd+StWzIcP0aJhvngLCb6irniP2sejKy4Pd1mRZsJyEDa+emA==" saltValue="UbV4xpsuC4NYhu8c+msBEg=="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4" width="9.140625" style="2" customWidth="1"/>
    <col min="15" max="16384" width="9.140625" style="2"/>
  </cols>
  <sheetData>
    <row r="1" spans="1:9" ht="15" customHeight="1" x14ac:dyDescent="0.25">
      <c r="A1" s="1"/>
      <c r="B1" s="37"/>
      <c r="C1" s="37"/>
      <c r="D1" s="37"/>
      <c r="E1" s="37"/>
      <c r="F1" s="37"/>
      <c r="G1" s="37"/>
      <c r="H1" s="37"/>
      <c r="I1" s="1"/>
    </row>
    <row r="2" spans="1:9" ht="15" customHeight="1" x14ac:dyDescent="0.25">
      <c r="A2" s="1"/>
      <c r="B2" s="137" t="s">
        <v>109</v>
      </c>
      <c r="C2" s="137"/>
      <c r="D2" s="137"/>
      <c r="E2" s="137"/>
      <c r="F2" s="137"/>
      <c r="G2" s="137"/>
      <c r="H2" s="137"/>
      <c r="I2" s="1"/>
    </row>
    <row r="3" spans="1:9" ht="28.5" customHeight="1" x14ac:dyDescent="0.25">
      <c r="A3" s="1"/>
      <c r="B3" s="137"/>
      <c r="C3" s="137"/>
      <c r="D3" s="137"/>
      <c r="E3" s="137"/>
      <c r="F3" s="137"/>
      <c r="G3" s="137"/>
      <c r="H3" s="137"/>
      <c r="I3" s="1"/>
    </row>
    <row r="4" spans="1:9" x14ac:dyDescent="0.25">
      <c r="A4" s="1"/>
      <c r="B4" s="129" t="s">
        <v>52</v>
      </c>
      <c r="C4" s="130"/>
      <c r="D4" s="130"/>
      <c r="E4" s="130"/>
      <c r="F4" s="130"/>
      <c r="G4" s="130"/>
      <c r="H4" s="131"/>
      <c r="I4" s="1"/>
    </row>
    <row r="5" spans="1:9" x14ac:dyDescent="0.25">
      <c r="A5" s="1"/>
      <c r="B5" s="138" t="s">
        <v>41</v>
      </c>
      <c r="C5" s="139"/>
      <c r="D5" s="139"/>
      <c r="E5" s="139"/>
      <c r="F5" s="140"/>
      <c r="G5" s="23">
        <v>91224526</v>
      </c>
      <c r="H5" s="14" t="s">
        <v>3</v>
      </c>
      <c r="I5" s="1"/>
    </row>
    <row r="6" spans="1:9" x14ac:dyDescent="0.25">
      <c r="A6" s="1"/>
      <c r="B6" s="132" t="s">
        <v>120</v>
      </c>
      <c r="C6" s="133"/>
      <c r="D6" s="133"/>
      <c r="E6" s="133"/>
      <c r="F6" s="134"/>
      <c r="G6" s="9">
        <v>0</v>
      </c>
      <c r="H6" s="14" t="s">
        <v>3</v>
      </c>
      <c r="I6" s="1"/>
    </row>
    <row r="7" spans="1:9" x14ac:dyDescent="0.25">
      <c r="A7" s="1"/>
      <c r="B7" s="138" t="s">
        <v>42</v>
      </c>
      <c r="C7" s="139"/>
      <c r="D7" s="139"/>
      <c r="E7" s="139"/>
      <c r="F7" s="140"/>
      <c r="G7" s="23">
        <f>SUM(G5:G6)*'Fane 15. Nøgletal'!C31</f>
        <v>1824490.52</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29" t="s">
        <v>53</v>
      </c>
      <c r="C10" s="130"/>
      <c r="D10" s="130"/>
      <c r="E10" s="130"/>
      <c r="F10" s="130"/>
      <c r="G10" s="130"/>
      <c r="H10" s="131"/>
      <c r="I10" s="1"/>
    </row>
    <row r="11" spans="1:9" x14ac:dyDescent="0.25">
      <c r="A11" s="1"/>
      <c r="B11" s="138" t="s">
        <v>43</v>
      </c>
      <c r="C11" s="139"/>
      <c r="D11" s="139"/>
      <c r="E11" s="139"/>
      <c r="F11" s="140"/>
      <c r="G11" s="23">
        <f>(G5-G7)*(1+'Fane 15. Nøgletal'!C10)</f>
        <v>90964536.100900009</v>
      </c>
      <c r="H11" s="14" t="s">
        <v>3</v>
      </c>
      <c r="I11" s="1"/>
    </row>
    <row r="12" spans="1:9" ht="15" customHeight="1" x14ac:dyDescent="0.25">
      <c r="A12" s="1"/>
      <c r="B12" s="138" t="s">
        <v>121</v>
      </c>
      <c r="C12" s="139"/>
      <c r="D12" s="139"/>
      <c r="E12" s="139"/>
      <c r="F12" s="140"/>
      <c r="G12" s="9">
        <v>-960275</v>
      </c>
      <c r="H12" s="14" t="s">
        <v>3</v>
      </c>
      <c r="I12" s="1"/>
    </row>
    <row r="13" spans="1:9" x14ac:dyDescent="0.25">
      <c r="A13" s="1"/>
      <c r="B13" s="132" t="s">
        <v>118</v>
      </c>
      <c r="C13" s="133"/>
      <c r="D13" s="133"/>
      <c r="E13" s="133"/>
      <c r="F13" s="134"/>
      <c r="G13" s="9">
        <v>960273.76500000001</v>
      </c>
      <c r="H13" s="14" t="s">
        <v>3</v>
      </c>
      <c r="I13" s="1"/>
    </row>
    <row r="14" spans="1:9" x14ac:dyDescent="0.25">
      <c r="A14" s="1"/>
      <c r="B14" s="141" t="s">
        <v>44</v>
      </c>
      <c r="C14" s="142"/>
      <c r="D14" s="142"/>
      <c r="E14" s="142"/>
      <c r="F14" s="143"/>
      <c r="G14" s="9">
        <v>0</v>
      </c>
      <c r="H14" s="14" t="s">
        <v>3</v>
      </c>
      <c r="I14" s="1"/>
    </row>
    <row r="15" spans="1:9" x14ac:dyDescent="0.25">
      <c r="A15" s="1"/>
      <c r="B15" s="138" t="s">
        <v>45</v>
      </c>
      <c r="C15" s="139"/>
      <c r="D15" s="139"/>
      <c r="E15" s="139"/>
      <c r="F15" s="140"/>
      <c r="G15" s="23">
        <f>SUM(G11:G14)*'Fane 15. Nøgletal'!C31</f>
        <v>1819290.6973180003</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29" t="s">
        <v>54</v>
      </c>
      <c r="C18" s="130"/>
      <c r="D18" s="130"/>
      <c r="E18" s="130"/>
      <c r="F18" s="130"/>
      <c r="G18" s="130"/>
      <c r="H18" s="131"/>
      <c r="I18" s="1"/>
    </row>
    <row r="19" spans="1:9" x14ac:dyDescent="0.25">
      <c r="A19" s="1"/>
      <c r="B19" s="138" t="s">
        <v>46</v>
      </c>
      <c r="C19" s="139"/>
      <c r="D19" s="139"/>
      <c r="E19" s="139"/>
      <c r="F19" s="140"/>
      <c r="G19" s="23">
        <f>(SUM(G11:G12,G14)-(G15))*(1+'Fane 15. Nøgletal'!C10)</f>
        <v>89728207.385644704</v>
      </c>
      <c r="H19" s="14" t="s">
        <v>3</v>
      </c>
      <c r="I19" s="1"/>
    </row>
    <row r="20" spans="1:9" x14ac:dyDescent="0.25">
      <c r="A20" s="1"/>
      <c r="B20" s="141" t="s">
        <v>47</v>
      </c>
      <c r="C20" s="142"/>
      <c r="D20" s="142"/>
      <c r="E20" s="142"/>
      <c r="F20" s="143"/>
      <c r="G20" s="9">
        <v>146329.31832865998</v>
      </c>
      <c r="H20" s="14" t="s">
        <v>3</v>
      </c>
      <c r="I20" s="1"/>
    </row>
    <row r="21" spans="1:9" x14ac:dyDescent="0.25">
      <c r="A21" s="1"/>
      <c r="B21" s="138" t="s">
        <v>48</v>
      </c>
      <c r="C21" s="139"/>
      <c r="D21" s="139"/>
      <c r="E21" s="139"/>
      <c r="F21" s="140"/>
      <c r="G21" s="23">
        <f>SUM(G19:G20)*'Fane 15. Nøgletal'!C31</f>
        <v>1797490.7340794674</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29" t="s">
        <v>55</v>
      </c>
      <c r="C24" s="130"/>
      <c r="D24" s="130"/>
      <c r="E24" s="130"/>
      <c r="F24" s="130"/>
      <c r="G24" s="130"/>
      <c r="H24" s="131"/>
      <c r="I24" s="1"/>
    </row>
    <row r="25" spans="1:9" x14ac:dyDescent="0.25">
      <c r="A25" s="1"/>
      <c r="B25" s="138" t="s">
        <v>49</v>
      </c>
      <c r="C25" s="139"/>
      <c r="D25" s="139"/>
      <c r="E25" s="139"/>
      <c r="F25" s="140"/>
      <c r="G25" s="23">
        <f>(G19+G20-G21)*(1+'Fane 15. Nøgletal'!C12)</f>
        <v>89812163.775500819</v>
      </c>
      <c r="H25" s="14" t="s">
        <v>3</v>
      </c>
      <c r="I25" s="1"/>
    </row>
    <row r="26" spans="1:9" x14ac:dyDescent="0.25">
      <c r="A26" s="1"/>
      <c r="B26" s="141" t="s">
        <v>50</v>
      </c>
      <c r="C26" s="142"/>
      <c r="D26" s="142"/>
      <c r="E26" s="142"/>
      <c r="F26" s="143"/>
      <c r="G26" s="9">
        <v>4230268.6664155507</v>
      </c>
      <c r="H26" s="14" t="s">
        <v>3</v>
      </c>
      <c r="I26" s="1"/>
    </row>
    <row r="27" spans="1:9" x14ac:dyDescent="0.25">
      <c r="A27" s="1"/>
      <c r="B27" s="138" t="s">
        <v>51</v>
      </c>
      <c r="C27" s="139"/>
      <c r="D27" s="139"/>
      <c r="E27" s="139"/>
      <c r="F27" s="140"/>
      <c r="G27" s="23">
        <f>(G25+G26)*'Fane 15. Nøgletal'!C31</f>
        <v>1880848.6488383275</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29" t="s">
        <v>58</v>
      </c>
      <c r="C30" s="130"/>
      <c r="D30" s="130"/>
      <c r="E30" s="130"/>
      <c r="F30" s="130"/>
      <c r="G30" s="130"/>
      <c r="H30" s="131"/>
      <c r="I30" s="1"/>
    </row>
    <row r="31" spans="1:9" x14ac:dyDescent="0.25">
      <c r="A31" s="1"/>
      <c r="B31" s="138" t="s">
        <v>59</v>
      </c>
      <c r="C31" s="139"/>
      <c r="D31" s="139"/>
      <c r="E31" s="139"/>
      <c r="F31" s="140"/>
      <c r="G31" s="23">
        <f>(G25+G26-G27)*(1+'Fane 15. Nøgletal'!C12)</f>
        <v>93977166.993801698</v>
      </c>
      <c r="H31" s="14" t="s">
        <v>3</v>
      </c>
      <c r="I31" s="1"/>
    </row>
    <row r="32" spans="1:9" x14ac:dyDescent="0.25">
      <c r="A32" s="1"/>
      <c r="B32" s="138" t="s">
        <v>137</v>
      </c>
      <c r="C32" s="139"/>
      <c r="D32" s="139"/>
      <c r="E32" s="139"/>
      <c r="F32" s="140"/>
      <c r="G32" s="23">
        <v>1068098.3129930401</v>
      </c>
      <c r="H32" s="14" t="s">
        <v>3</v>
      </c>
      <c r="I32" s="1"/>
    </row>
    <row r="33" spans="1:9" x14ac:dyDescent="0.25">
      <c r="A33" s="1"/>
      <c r="B33" s="138" t="s">
        <v>60</v>
      </c>
      <c r="C33" s="139"/>
      <c r="D33" s="139"/>
      <c r="E33" s="139"/>
      <c r="F33" s="140"/>
      <c r="G33" s="23">
        <f>(G31+G32)*'Fane 15. Nøgletal'!C31</f>
        <v>1900905.3061358947</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29" t="s">
        <v>160</v>
      </c>
      <c r="C36" s="130"/>
      <c r="D36" s="130"/>
      <c r="E36" s="130"/>
      <c r="F36" s="130"/>
      <c r="G36" s="130"/>
      <c r="H36" s="131"/>
      <c r="I36" s="1"/>
    </row>
    <row r="37" spans="1:9" x14ac:dyDescent="0.25">
      <c r="A37" s="1"/>
      <c r="B37" s="138" t="s">
        <v>79</v>
      </c>
      <c r="C37" s="139"/>
      <c r="D37" s="139"/>
      <c r="E37" s="139"/>
      <c r="F37" s="140"/>
      <c r="G37" s="23">
        <f>(G31+G32-G33)*(1+'Fane 15. Nøgletal'!C14)</f>
        <v>93451736.388661027</v>
      </c>
      <c r="H37" s="14" t="s">
        <v>3</v>
      </c>
      <c r="I37" s="1"/>
    </row>
    <row r="38" spans="1:9" x14ac:dyDescent="0.25">
      <c r="A38" s="1"/>
      <c r="B38" s="138" t="s">
        <v>164</v>
      </c>
      <c r="C38" s="139"/>
      <c r="D38" s="139"/>
      <c r="E38" s="139"/>
      <c r="F38" s="140"/>
      <c r="G38" s="23">
        <v>845487.71789215016</v>
      </c>
      <c r="H38" s="14" t="s">
        <v>3</v>
      </c>
      <c r="I38" s="1"/>
    </row>
    <row r="39" spans="1:9" x14ac:dyDescent="0.25">
      <c r="A39" s="1"/>
      <c r="B39" s="138" t="s">
        <v>162</v>
      </c>
      <c r="C39" s="139"/>
      <c r="D39" s="139"/>
      <c r="E39" s="139"/>
      <c r="F39" s="140"/>
      <c r="G39" s="23">
        <f>(G37+G38)*'Fane 15. Nøgletal'!C31</f>
        <v>1885944.4821310637</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29" t="s">
        <v>161</v>
      </c>
      <c r="C42" s="130"/>
      <c r="D42" s="130"/>
      <c r="E42" s="130"/>
      <c r="F42" s="130"/>
      <c r="G42" s="130"/>
      <c r="H42" s="131"/>
      <c r="I42" s="1"/>
    </row>
    <row r="43" spans="1:9" x14ac:dyDescent="0.25">
      <c r="A43" s="1"/>
      <c r="B43" s="138" t="s">
        <v>230</v>
      </c>
      <c r="C43" s="139"/>
      <c r="D43" s="139"/>
      <c r="E43" s="139"/>
      <c r="F43" s="140"/>
      <c r="G43" s="23">
        <f>(G37+G38-G39)*(1+'Fane 15. Nøgletal'!C14)</f>
        <v>92716236.847182721</v>
      </c>
      <c r="H43" s="14" t="s">
        <v>3</v>
      </c>
      <c r="I43" s="1"/>
    </row>
    <row r="44" spans="1:9" x14ac:dyDescent="0.25">
      <c r="A44" s="1"/>
      <c r="B44" s="144" t="s">
        <v>232</v>
      </c>
      <c r="C44" s="145"/>
      <c r="D44" s="145"/>
      <c r="E44" s="145"/>
      <c r="F44" s="146"/>
      <c r="G44" s="50">
        <f>('Fane 2.1. Økonomisk ramme 2023'!C10+'Fane 2.1. Økonomisk ramme 2023'!C12+'Fane 2.1. Økonomisk ramme 2023'!C14)*(1+'Fane 15. Nøgletal'!C15)</f>
        <v>248100.30919296003</v>
      </c>
      <c r="H44" s="14" t="s">
        <v>3</v>
      </c>
      <c r="I44" s="1"/>
    </row>
    <row r="45" spans="1:9" x14ac:dyDescent="0.25">
      <c r="A45" s="1"/>
      <c r="B45" s="138" t="s">
        <v>163</v>
      </c>
      <c r="C45" s="139"/>
      <c r="D45" s="139"/>
      <c r="E45" s="139"/>
      <c r="F45" s="140"/>
      <c r="G45" s="23">
        <f>SUM(G43:G44)*'Fane 15. Nøgletal'!C31</f>
        <v>1859286.7431275137</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5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29" t="s">
        <v>243</v>
      </c>
      <c r="C51" s="130"/>
      <c r="D51" s="130"/>
      <c r="E51" s="130"/>
      <c r="F51" s="130"/>
      <c r="G51" s="130"/>
      <c r="H51" s="131"/>
      <c r="I51" s="1"/>
    </row>
    <row r="52" spans="1:9" x14ac:dyDescent="0.25">
      <c r="A52" s="1"/>
      <c r="B52" s="138" t="s">
        <v>229</v>
      </c>
      <c r="C52" s="139"/>
      <c r="D52" s="139"/>
      <c r="E52" s="139"/>
      <c r="F52" s="140"/>
      <c r="G52" s="23">
        <f>(G43+G44-G45)*(1+'Fane 15. Nøgletal'!C15)</f>
        <v>94348390.207959801</v>
      </c>
      <c r="H52" s="14" t="s">
        <v>3</v>
      </c>
      <c r="I52" s="1"/>
    </row>
    <row r="53" spans="1:9" x14ac:dyDescent="0.25">
      <c r="A53" s="1"/>
      <c r="B53" s="138" t="s">
        <v>138</v>
      </c>
      <c r="C53" s="139"/>
      <c r="D53" s="139"/>
      <c r="E53" s="139"/>
      <c r="F53" s="140"/>
      <c r="G53" s="23">
        <f>(G52)*'Fane 15. Nøgletal'!C31</f>
        <v>1886967.8041591961</v>
      </c>
      <c r="H53" s="14" t="s">
        <v>3</v>
      </c>
      <c r="I53" s="1"/>
    </row>
    <row r="54" spans="1:9" x14ac:dyDescent="0.25">
      <c r="A54" s="1"/>
      <c r="B54" s="33"/>
      <c r="C54" s="28"/>
      <c r="D54" s="28"/>
      <c r="E54" s="28"/>
      <c r="F54" s="28"/>
      <c r="G54" s="28"/>
      <c r="H54" s="19"/>
      <c r="I54" s="1"/>
    </row>
    <row r="55" spans="1:9" x14ac:dyDescent="0.25">
      <c r="A55" s="1"/>
      <c r="B55" s="1"/>
      <c r="C55" s="1"/>
      <c r="D55" s="1"/>
      <c r="E55" s="1"/>
      <c r="F55" s="1"/>
      <c r="G55" s="1"/>
      <c r="H55" s="1"/>
      <c r="I55" s="1"/>
    </row>
    <row r="56" spans="1:9" x14ac:dyDescent="0.25">
      <c r="A56" s="1"/>
      <c r="B56" s="129" t="s">
        <v>150</v>
      </c>
      <c r="C56" s="130"/>
      <c r="D56" s="130"/>
      <c r="E56" s="130"/>
      <c r="F56" s="130"/>
      <c r="G56" s="130"/>
      <c r="H56" s="131"/>
      <c r="I56" s="1"/>
    </row>
    <row r="57" spans="1:9" x14ac:dyDescent="0.25">
      <c r="A57" s="1"/>
      <c r="B57" s="90" t="s">
        <v>151</v>
      </c>
      <c r="C57" s="91"/>
      <c r="D57" s="91"/>
      <c r="E57" s="91"/>
      <c r="F57" s="92"/>
      <c r="G57" s="23">
        <f>(G52-G53)*(1+'Fane 15. Nøgletal'!C15)</f>
        <v>95753049.04137592</v>
      </c>
      <c r="H57" s="14" t="s">
        <v>3</v>
      </c>
      <c r="I57" s="1"/>
    </row>
    <row r="58" spans="1:9" x14ac:dyDescent="0.25">
      <c r="A58" s="1"/>
      <c r="B58" s="90" t="s">
        <v>152</v>
      </c>
      <c r="C58" s="91"/>
      <c r="D58" s="91"/>
      <c r="E58" s="91"/>
      <c r="F58" s="92"/>
      <c r="G58" s="23">
        <f>(G57)*'Fane 15. Nøgletal'!C31</f>
        <v>1915060.9808275185</v>
      </c>
      <c r="H58" s="14" t="s">
        <v>3</v>
      </c>
      <c r="I58" s="1"/>
    </row>
    <row r="59" spans="1:9" x14ac:dyDescent="0.25">
      <c r="A59" s="1"/>
      <c r="B59" s="33"/>
      <c r="C59" s="28"/>
      <c r="D59" s="28"/>
      <c r="E59" s="28"/>
      <c r="F59" s="28"/>
      <c r="G59" s="28"/>
      <c r="H59" s="19"/>
      <c r="I59" s="1"/>
    </row>
    <row r="60" spans="1:9" x14ac:dyDescent="0.25">
      <c r="A60" s="1"/>
      <c r="B60" s="1"/>
      <c r="C60" s="1"/>
      <c r="D60" s="1"/>
      <c r="E60" s="1"/>
      <c r="F60" s="1"/>
      <c r="G60" s="1"/>
      <c r="H60" s="1"/>
      <c r="I60" s="1"/>
    </row>
    <row r="61" spans="1:9" x14ac:dyDescent="0.25">
      <c r="A61" s="1"/>
      <c r="B61" s="129" t="s">
        <v>194</v>
      </c>
      <c r="C61" s="130"/>
      <c r="D61" s="130"/>
      <c r="E61" s="130"/>
      <c r="F61" s="130"/>
      <c r="G61" s="130"/>
      <c r="H61" s="131"/>
      <c r="I61" s="1"/>
    </row>
    <row r="62" spans="1:9" x14ac:dyDescent="0.25">
      <c r="A62" s="1"/>
      <c r="B62" s="90" t="s">
        <v>195</v>
      </c>
      <c r="C62" s="91"/>
      <c r="D62" s="91"/>
      <c r="E62" s="91"/>
      <c r="F62" s="92"/>
      <c r="G62" s="23">
        <f>(G57-G58)*(1+'Fane 15. Nøgletal'!C15)</f>
        <v>97178620.43550393</v>
      </c>
      <c r="H62" s="14" t="s">
        <v>3</v>
      </c>
      <c r="I62" s="1"/>
    </row>
    <row r="63" spans="1:9" x14ac:dyDescent="0.25">
      <c r="A63" s="1"/>
      <c r="B63" s="90" t="s">
        <v>196</v>
      </c>
      <c r="C63" s="91"/>
      <c r="D63" s="91"/>
      <c r="E63" s="91"/>
      <c r="F63" s="92"/>
      <c r="G63" s="23">
        <f>(G62)*'Fane 15. Nøgletal'!C31</f>
        <v>1943572.4087100786</v>
      </c>
      <c r="H63" s="14" t="s">
        <v>3</v>
      </c>
      <c r="I63" s="1"/>
    </row>
    <row r="64" spans="1:9" x14ac:dyDescent="0.25">
      <c r="A64" s="1"/>
      <c r="B64" s="33"/>
      <c r="C64" s="28"/>
      <c r="D64" s="28"/>
      <c r="E64" s="28"/>
      <c r="F64" s="28"/>
      <c r="G64" s="28"/>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4"/>
    </row>
  </sheetData>
  <sheetProtection algorithmName="SHA-512" hashValue="g2W6tLEyxe/Hbxfboyy5JEx1G1BYxvyjTc/FHwwN86GqMxu+pj83UPm6MHquWZa1SMirIV1kI1EUT27WqaJiVw==" saltValue="dV0rW0WabzmTPiq/CKj8EA=="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28515625" style="2" customWidth="1"/>
    <col min="2" max="5" width="9.140625" style="2"/>
    <col min="6" max="6" width="27.42578125" style="2" customWidth="1"/>
    <col min="7" max="7" width="12.5703125" style="2" customWidth="1"/>
    <col min="8" max="8" width="4.5703125" style="2" customWidth="1"/>
    <col min="9" max="9" width="3.28515625" style="2" customWidth="1"/>
    <col min="10" max="16384" width="9.140625" style="2"/>
  </cols>
  <sheetData>
    <row r="1" spans="1:9" ht="14.25" customHeight="1" x14ac:dyDescent="0.35">
      <c r="A1" s="1"/>
      <c r="B1" s="99"/>
      <c r="C1" s="99"/>
      <c r="D1" s="99"/>
      <c r="E1" s="99"/>
      <c r="F1" s="99"/>
      <c r="G1" s="99"/>
      <c r="H1" s="99"/>
      <c r="I1" s="1"/>
    </row>
    <row r="2" spans="1:9" ht="15" customHeight="1" x14ac:dyDescent="0.25">
      <c r="A2" s="147" t="s">
        <v>110</v>
      </c>
      <c r="B2" s="147"/>
      <c r="C2" s="147"/>
      <c r="D2" s="147"/>
      <c r="E2" s="147"/>
      <c r="F2" s="147"/>
      <c r="G2" s="147"/>
      <c r="H2" s="147"/>
      <c r="I2" s="147"/>
    </row>
    <row r="3" spans="1:9" ht="15" customHeight="1" x14ac:dyDescent="0.25">
      <c r="A3" s="147"/>
      <c r="B3" s="147"/>
      <c r="C3" s="147"/>
      <c r="D3" s="147"/>
      <c r="E3" s="147"/>
      <c r="F3" s="147"/>
      <c r="G3" s="147"/>
      <c r="H3" s="147"/>
      <c r="I3" s="147"/>
    </row>
    <row r="4" spans="1:9" x14ac:dyDescent="0.25">
      <c r="A4" s="1"/>
      <c r="B4" s="1"/>
      <c r="C4" s="1"/>
      <c r="D4" s="1"/>
      <c r="E4" s="1"/>
      <c r="F4" s="1"/>
      <c r="G4" s="1"/>
      <c r="H4" s="1"/>
      <c r="I4" s="1"/>
    </row>
    <row r="5" spans="1:9" x14ac:dyDescent="0.25">
      <c r="A5" s="1"/>
      <c r="B5" s="129" t="s">
        <v>56</v>
      </c>
      <c r="C5" s="130"/>
      <c r="D5" s="130"/>
      <c r="E5" s="130"/>
      <c r="F5" s="130"/>
      <c r="G5" s="130"/>
      <c r="H5" s="131"/>
      <c r="I5" s="1"/>
    </row>
    <row r="6" spans="1:9" x14ac:dyDescent="0.25">
      <c r="A6" s="1"/>
      <c r="B6" s="90" t="s">
        <v>61</v>
      </c>
      <c r="C6" s="91"/>
      <c r="D6" s="91"/>
      <c r="E6" s="91"/>
      <c r="F6" s="92"/>
      <c r="G6" s="23">
        <f>55256914+98529430</f>
        <v>153786344</v>
      </c>
      <c r="H6" s="14" t="s">
        <v>3</v>
      </c>
      <c r="I6" s="1"/>
    </row>
    <row r="7" spans="1:9" x14ac:dyDescent="0.25">
      <c r="A7" s="1"/>
      <c r="B7" s="90" t="s">
        <v>57</v>
      </c>
      <c r="C7" s="91"/>
      <c r="D7" s="91"/>
      <c r="E7" s="91"/>
      <c r="F7" s="92"/>
      <c r="G7" s="23">
        <f>G6*'Fane 15. Nøgletal'!C20</f>
        <v>1399455.7304</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85" t="s">
        <v>62</v>
      </c>
      <c r="C10" s="86"/>
      <c r="D10" s="86"/>
      <c r="E10" s="86"/>
      <c r="F10" s="86"/>
      <c r="G10" s="86"/>
      <c r="H10" s="87"/>
      <c r="I10" s="1"/>
    </row>
    <row r="11" spans="1:9" x14ac:dyDescent="0.25">
      <c r="A11" s="1"/>
      <c r="B11" s="90" t="s">
        <v>63</v>
      </c>
      <c r="C11" s="91"/>
      <c r="D11" s="91"/>
      <c r="E11" s="91"/>
      <c r="F11" s="92"/>
      <c r="G11" s="23">
        <f>(G6-G7)*(1+'Fane 15. Nøgletal'!C10)</f>
        <v>155053658.814318</v>
      </c>
      <c r="H11" s="14" t="s">
        <v>3</v>
      </c>
      <c r="I11" s="1"/>
    </row>
    <row r="12" spans="1:9" x14ac:dyDescent="0.25">
      <c r="A12" s="1"/>
      <c r="B12" s="90" t="s">
        <v>122</v>
      </c>
      <c r="C12" s="91"/>
      <c r="D12" s="91"/>
      <c r="E12" s="91"/>
      <c r="F12" s="92"/>
      <c r="G12" s="74">
        <v>-839590</v>
      </c>
      <c r="H12" s="14" t="s">
        <v>3</v>
      </c>
      <c r="I12" s="1"/>
    </row>
    <row r="13" spans="1:9" x14ac:dyDescent="0.25">
      <c r="A13" s="1"/>
      <c r="B13" s="93" t="s">
        <v>64</v>
      </c>
      <c r="C13" s="94"/>
      <c r="D13" s="94"/>
      <c r="E13" s="94"/>
      <c r="F13" s="95"/>
      <c r="G13" s="9">
        <v>0</v>
      </c>
      <c r="H13" s="14" t="s">
        <v>3</v>
      </c>
      <c r="I13" s="1"/>
    </row>
    <row r="14" spans="1:9" x14ac:dyDescent="0.25">
      <c r="A14" s="1"/>
      <c r="B14" s="90" t="s">
        <v>65</v>
      </c>
      <c r="C14" s="91"/>
      <c r="D14" s="91"/>
      <c r="E14" s="91"/>
      <c r="F14" s="92"/>
      <c r="G14" s="23">
        <f>SUM(G11:G13)*'Fane 15. Nøgletal'!C21</f>
        <v>2729589.0180134289</v>
      </c>
      <c r="H14" s="14" t="s">
        <v>3</v>
      </c>
      <c r="I14" s="1"/>
    </row>
    <row r="15" spans="1:9" x14ac:dyDescent="0.25">
      <c r="A15" s="1"/>
      <c r="B15" s="33"/>
      <c r="C15" s="28"/>
      <c r="D15" s="28"/>
      <c r="E15" s="28"/>
      <c r="F15" s="28"/>
      <c r="G15" s="28"/>
      <c r="H15" s="19"/>
      <c r="I15" s="1"/>
    </row>
    <row r="16" spans="1:9" x14ac:dyDescent="0.25">
      <c r="A16" s="1"/>
      <c r="B16" s="1"/>
      <c r="C16" s="1"/>
      <c r="D16" s="1"/>
      <c r="E16" s="1"/>
      <c r="F16" s="1"/>
      <c r="G16" s="1"/>
      <c r="H16" s="1"/>
      <c r="I16" s="1"/>
    </row>
    <row r="17" spans="1:9" x14ac:dyDescent="0.25">
      <c r="A17" s="1"/>
      <c r="B17" s="85" t="s">
        <v>66</v>
      </c>
      <c r="C17" s="86"/>
      <c r="D17" s="86"/>
      <c r="E17" s="86"/>
      <c r="F17" s="86"/>
      <c r="G17" s="86"/>
      <c r="H17" s="87"/>
      <c r="I17" s="1"/>
    </row>
    <row r="18" spans="1:9" x14ac:dyDescent="0.25">
      <c r="A18" s="1"/>
      <c r="B18" s="90" t="s">
        <v>67</v>
      </c>
      <c r="C18" s="91"/>
      <c r="D18" s="91"/>
      <c r="E18" s="91"/>
      <c r="F18" s="92"/>
      <c r="G18" s="23">
        <f>(SUM(G11:G13)-G14)*(1+'Fane 15. Nøgletal'!C10)</f>
        <v>154135458.19273993</v>
      </c>
      <c r="H18" s="14" t="s">
        <v>3</v>
      </c>
      <c r="I18" s="1"/>
    </row>
    <row r="19" spans="1:9" x14ac:dyDescent="0.25">
      <c r="A19" s="1"/>
      <c r="B19" s="93" t="s">
        <v>68</v>
      </c>
      <c r="C19" s="94"/>
      <c r="D19" s="94"/>
      <c r="E19" s="94"/>
      <c r="F19" s="95"/>
      <c r="G19" s="23">
        <v>3323768.3085180991</v>
      </c>
      <c r="H19" s="14" t="s">
        <v>3</v>
      </c>
      <c r="I19" s="1"/>
    </row>
    <row r="20" spans="1:9" x14ac:dyDescent="0.25">
      <c r="A20" s="1"/>
      <c r="B20" s="90" t="s">
        <v>69</v>
      </c>
      <c r="C20" s="91"/>
      <c r="D20" s="91"/>
      <c r="E20" s="91"/>
      <c r="F20" s="92"/>
      <c r="G20" s="23">
        <f>G18*'Fane 15. Nøgletal'!C21+G19*'Fane 15. Nøgletal'!C22</f>
        <v>2757114.3942956044</v>
      </c>
      <c r="H20" s="14" t="s">
        <v>3</v>
      </c>
      <c r="I20" s="1"/>
    </row>
    <row r="21" spans="1:9" x14ac:dyDescent="0.25">
      <c r="A21" s="1"/>
      <c r="B21" s="33"/>
      <c r="C21" s="28"/>
      <c r="D21" s="28"/>
      <c r="E21" s="28"/>
      <c r="F21" s="28"/>
      <c r="G21" s="28"/>
      <c r="H21" s="19"/>
      <c r="I21" s="1"/>
    </row>
    <row r="22" spans="1:9" x14ac:dyDescent="0.25">
      <c r="A22" s="1"/>
      <c r="B22" s="1"/>
      <c r="C22" s="1"/>
      <c r="D22" s="1"/>
      <c r="E22" s="1"/>
      <c r="F22" s="1"/>
      <c r="G22" s="1"/>
      <c r="H22" s="1"/>
      <c r="I22" s="1"/>
    </row>
    <row r="23" spans="1:9" x14ac:dyDescent="0.25">
      <c r="A23" s="1"/>
      <c r="B23" s="85" t="s">
        <v>70</v>
      </c>
      <c r="C23" s="86"/>
      <c r="D23" s="86"/>
      <c r="E23" s="86"/>
      <c r="F23" s="86"/>
      <c r="G23" s="86"/>
      <c r="H23" s="87"/>
      <c r="I23" s="1"/>
    </row>
    <row r="24" spans="1:9" x14ac:dyDescent="0.25">
      <c r="A24" s="1"/>
      <c r="B24" s="90" t="s">
        <v>71</v>
      </c>
      <c r="C24" s="91"/>
      <c r="D24" s="91"/>
      <c r="E24" s="91"/>
      <c r="F24" s="92"/>
      <c r="G24" s="23">
        <f>(G18+G19-G20)*(1+'Fane 15. Nøgletal'!C12)</f>
        <v>157749743.7154696</v>
      </c>
      <c r="H24" s="14" t="s">
        <v>3</v>
      </c>
      <c r="I24" s="1"/>
    </row>
    <row r="25" spans="1:9" x14ac:dyDescent="0.25">
      <c r="A25" s="1"/>
      <c r="B25" s="93" t="s">
        <v>72</v>
      </c>
      <c r="C25" s="94"/>
      <c r="D25" s="94"/>
      <c r="E25" s="94"/>
      <c r="F25" s="95"/>
      <c r="G25" s="23">
        <v>2927281.09677003</v>
      </c>
      <c r="H25" s="14" t="s">
        <v>3</v>
      </c>
      <c r="I25" s="1"/>
    </row>
    <row r="26" spans="1:9" x14ac:dyDescent="0.25">
      <c r="A26" s="1"/>
      <c r="B26" s="90" t="s">
        <v>73</v>
      </c>
      <c r="C26" s="91"/>
      <c r="D26" s="91"/>
      <c r="E26" s="91"/>
      <c r="F26" s="92"/>
      <c r="G26" s="23">
        <f>(G24+G25)*'Fane 15. Nøgletal'!C23</f>
        <v>4563227.5046676053</v>
      </c>
      <c r="H26" s="14" t="s">
        <v>3</v>
      </c>
      <c r="I26" s="1"/>
    </row>
    <row r="27" spans="1:9" x14ac:dyDescent="0.25">
      <c r="A27" s="1"/>
      <c r="B27" s="33"/>
      <c r="C27" s="28"/>
      <c r="D27" s="28"/>
      <c r="E27" s="28"/>
      <c r="F27" s="28"/>
      <c r="G27" s="28"/>
      <c r="H27" s="19"/>
      <c r="I27" s="1"/>
    </row>
    <row r="28" spans="1:9" x14ac:dyDescent="0.25">
      <c r="A28" s="1"/>
      <c r="B28" s="1"/>
      <c r="C28" s="1"/>
      <c r="D28" s="1"/>
      <c r="E28" s="1"/>
      <c r="F28" s="1"/>
      <c r="G28" s="1"/>
      <c r="H28" s="1"/>
      <c r="I28" s="1"/>
    </row>
    <row r="29" spans="1:9" x14ac:dyDescent="0.25">
      <c r="A29" s="1"/>
      <c r="B29" s="85" t="s">
        <v>74</v>
      </c>
      <c r="C29" s="86"/>
      <c r="D29" s="86"/>
      <c r="E29" s="86"/>
      <c r="F29" s="86"/>
      <c r="G29" s="86"/>
      <c r="H29" s="87"/>
      <c r="I29" s="1"/>
    </row>
    <row r="30" spans="1:9" x14ac:dyDescent="0.25">
      <c r="A30" s="1"/>
      <c r="B30" s="90" t="s">
        <v>75</v>
      </c>
      <c r="C30" s="91"/>
      <c r="D30" s="91"/>
      <c r="E30" s="91"/>
      <c r="F30" s="92"/>
      <c r="G30" s="23">
        <f>(G24+G25-G26)*(1+'Fane 15. Nøgletal'!C12)</f>
        <v>159189239.11453119</v>
      </c>
      <c r="H30" s="14" t="s">
        <v>3</v>
      </c>
      <c r="I30" s="1"/>
    </row>
    <row r="31" spans="1:9" x14ac:dyDescent="0.25">
      <c r="A31" s="1"/>
      <c r="B31" s="90" t="s">
        <v>139</v>
      </c>
      <c r="C31" s="91"/>
      <c r="D31" s="91"/>
      <c r="E31" s="91"/>
      <c r="F31" s="92"/>
      <c r="G31" s="23">
        <v>16376271.85999224</v>
      </c>
      <c r="H31" s="14" t="s">
        <v>3</v>
      </c>
      <c r="I31" s="1"/>
    </row>
    <row r="32" spans="1:9" x14ac:dyDescent="0.25">
      <c r="A32" s="1"/>
      <c r="B32" s="90" t="s">
        <v>76</v>
      </c>
      <c r="C32" s="91"/>
      <c r="D32" s="91"/>
      <c r="E32" s="91"/>
      <c r="F32" s="92"/>
      <c r="G32" s="23">
        <f>G30*'Fane 15. Nøgletal'!C23+G31*'Fane 15. Nøgletal'!C24</f>
        <v>4971321.8670024723</v>
      </c>
      <c r="H32" s="14" t="s">
        <v>3</v>
      </c>
      <c r="I32" s="1"/>
    </row>
    <row r="33" spans="1:9" x14ac:dyDescent="0.25">
      <c r="A33" s="1"/>
      <c r="B33" s="33"/>
      <c r="C33" s="28"/>
      <c r="D33" s="28"/>
      <c r="E33" s="28"/>
      <c r="F33" s="28"/>
      <c r="G33" s="28"/>
      <c r="H33" s="19"/>
      <c r="I33" s="1"/>
    </row>
    <row r="34" spans="1:9" x14ac:dyDescent="0.25">
      <c r="A34" s="1"/>
      <c r="B34" s="1"/>
      <c r="C34" s="1"/>
      <c r="D34" s="1"/>
      <c r="E34" s="1"/>
      <c r="F34" s="1"/>
      <c r="G34" s="1"/>
      <c r="H34" s="1"/>
      <c r="I34" s="1"/>
    </row>
    <row r="35" spans="1:9" x14ac:dyDescent="0.25">
      <c r="A35" s="1"/>
      <c r="B35" s="85" t="s">
        <v>165</v>
      </c>
      <c r="C35" s="86"/>
      <c r="D35" s="86"/>
      <c r="E35" s="86"/>
      <c r="F35" s="86"/>
      <c r="G35" s="86"/>
      <c r="H35" s="87"/>
      <c r="I35" s="1"/>
    </row>
    <row r="36" spans="1:9" x14ac:dyDescent="0.25">
      <c r="A36" s="1"/>
      <c r="B36" s="90" t="s">
        <v>78</v>
      </c>
      <c r="C36" s="91"/>
      <c r="D36" s="91"/>
      <c r="E36" s="91"/>
      <c r="F36" s="92"/>
      <c r="G36" s="23">
        <f>(G30+G31-G32)*(1+'Fane 15. Nøgletal'!C14)</f>
        <v>171157149.93157578</v>
      </c>
      <c r="H36" s="14" t="s">
        <v>3</v>
      </c>
      <c r="I36" s="1"/>
    </row>
    <row r="37" spans="1:9" x14ac:dyDescent="0.25">
      <c r="A37" s="1"/>
      <c r="B37" s="90" t="s">
        <v>167</v>
      </c>
      <c r="C37" s="91"/>
      <c r="D37" s="91"/>
      <c r="E37" s="91"/>
      <c r="F37" s="92"/>
      <c r="G37" s="23">
        <v>3896534.3849801607</v>
      </c>
      <c r="H37" s="14" t="s">
        <v>3</v>
      </c>
      <c r="I37" s="1"/>
    </row>
    <row r="38" spans="1:9" x14ac:dyDescent="0.25">
      <c r="A38" s="1"/>
      <c r="B38" s="90" t="s">
        <v>166</v>
      </c>
      <c r="C38" s="91"/>
      <c r="D38" s="91"/>
      <c r="E38" s="91"/>
      <c r="F38" s="92"/>
      <c r="G38" s="23">
        <f>(G36+G37)*'Fane 15. Nøgletal'!C25</f>
        <v>2590794.5278850282</v>
      </c>
      <c r="H38" s="14" t="s">
        <v>3</v>
      </c>
      <c r="I38" s="1"/>
    </row>
    <row r="39" spans="1:9" x14ac:dyDescent="0.25">
      <c r="A39" s="1"/>
      <c r="B39" s="33"/>
      <c r="C39" s="28"/>
      <c r="D39" s="28"/>
      <c r="E39" s="28"/>
      <c r="F39" s="28"/>
      <c r="G39" s="28"/>
      <c r="H39" s="19"/>
      <c r="I39" s="1"/>
    </row>
    <row r="40" spans="1:9" x14ac:dyDescent="0.25">
      <c r="A40" s="1"/>
      <c r="B40" s="1"/>
      <c r="C40" s="1"/>
      <c r="D40" s="1"/>
      <c r="E40" s="1"/>
      <c r="F40" s="1"/>
      <c r="G40" s="1"/>
      <c r="H40" s="1"/>
      <c r="I40" s="1"/>
    </row>
    <row r="41" spans="1:9" x14ac:dyDescent="0.25">
      <c r="A41" s="1"/>
      <c r="B41" s="85" t="s">
        <v>223</v>
      </c>
      <c r="C41" s="86"/>
      <c r="D41" s="86"/>
      <c r="E41" s="86"/>
      <c r="F41" s="86"/>
      <c r="G41" s="86"/>
      <c r="H41" s="87"/>
      <c r="I41" s="1"/>
    </row>
    <row r="42" spans="1:9" x14ac:dyDescent="0.25">
      <c r="A42" s="1"/>
      <c r="B42" s="90" t="s">
        <v>77</v>
      </c>
      <c r="C42" s="91"/>
      <c r="D42" s="91"/>
      <c r="E42" s="91"/>
      <c r="F42" s="92"/>
      <c r="G42" s="23">
        <f>(G36+G37-G38)*(1+'Fane 15. Nøgletal'!C14)</f>
        <v>173032017.32497355</v>
      </c>
      <c r="H42" s="14" t="s">
        <v>3</v>
      </c>
      <c r="I42" s="1"/>
    </row>
    <row r="43" spans="1:9" x14ac:dyDescent="0.25">
      <c r="A43" s="1"/>
      <c r="B43" s="44" t="s">
        <v>231</v>
      </c>
      <c r="C43" s="91"/>
      <c r="D43" s="91"/>
      <c r="E43" s="91"/>
      <c r="F43" s="92"/>
      <c r="G43" s="50">
        <f>('Fane 2.1. Økonomisk ramme 2023'!C11+'Fane 2.1. Økonomisk ramme 2023'!C13+'Fane 2.1. Økonomisk ramme 2023'!C15)*(1+'Fane 15. Nøgletal'!C15)</f>
        <v>5841937.7685878417</v>
      </c>
      <c r="H43" s="14" t="s">
        <v>3</v>
      </c>
      <c r="I43" s="1"/>
    </row>
    <row r="44" spans="1:9" x14ac:dyDescent="0.25">
      <c r="A44" s="1"/>
      <c r="B44" s="90" t="s">
        <v>168</v>
      </c>
      <c r="C44" s="91"/>
      <c r="D44" s="91"/>
      <c r="E44" s="91"/>
      <c r="F44" s="92"/>
      <c r="G44" s="23">
        <f>(G42)*'Fane 15. Nøgletal'!C25+G43*'Fane 15. Nøgletal'!C26</f>
        <v>2560873.8564096089</v>
      </c>
      <c r="H44" s="14" t="s">
        <v>3</v>
      </c>
      <c r="I44" s="1"/>
    </row>
    <row r="45" spans="1:9" x14ac:dyDescent="0.25">
      <c r="A45" s="1"/>
      <c r="B45" s="33"/>
      <c r="C45" s="28"/>
      <c r="D45" s="28"/>
      <c r="E45" s="28"/>
      <c r="F45" s="28"/>
      <c r="G45" s="28"/>
      <c r="H45" s="19"/>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
      <c r="C52" s="1"/>
      <c r="D52" s="1"/>
      <c r="E52" s="1"/>
      <c r="F52" s="1"/>
      <c r="G52" s="1"/>
      <c r="H52" s="1"/>
      <c r="I52" s="1"/>
    </row>
    <row r="53" spans="1:9" x14ac:dyDescent="0.25">
      <c r="A53" s="1"/>
      <c r="B53" s="85" t="s">
        <v>244</v>
      </c>
      <c r="C53" s="86"/>
      <c r="D53" s="86"/>
      <c r="E53" s="86"/>
      <c r="F53" s="86"/>
      <c r="G53" s="86"/>
      <c r="H53" s="87"/>
      <c r="I53" s="1"/>
    </row>
    <row r="54" spans="1:9" x14ac:dyDescent="0.25">
      <c r="A54" s="1"/>
      <c r="B54" s="90" t="s">
        <v>140</v>
      </c>
      <c r="C54" s="91"/>
      <c r="D54" s="91"/>
      <c r="E54" s="91"/>
      <c r="F54" s="92"/>
      <c r="G54" s="23">
        <f>(G42+G43-G44)*(1+'Fane 15. Nøgletal'!C15)</f>
        <v>182589826.92919439</v>
      </c>
      <c r="H54" s="14" t="s">
        <v>3</v>
      </c>
      <c r="I54" s="1"/>
    </row>
    <row r="55" spans="1:9" x14ac:dyDescent="0.25">
      <c r="A55" s="1"/>
      <c r="B55" s="90" t="s">
        <v>141</v>
      </c>
      <c r="C55" s="91"/>
      <c r="D55" s="91"/>
      <c r="E55" s="91"/>
      <c r="F55" s="92"/>
      <c r="G55" s="23">
        <f>(G54)*'Fane 15. Nøgletal'!C26</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85" t="s">
        <v>153</v>
      </c>
      <c r="C58" s="86"/>
      <c r="D58" s="86"/>
      <c r="E58" s="86"/>
      <c r="F58" s="86"/>
      <c r="G58" s="86"/>
      <c r="H58" s="87"/>
      <c r="I58" s="1"/>
    </row>
    <row r="59" spans="1:9" x14ac:dyDescent="0.25">
      <c r="A59" s="1"/>
      <c r="B59" s="90" t="s">
        <v>173</v>
      </c>
      <c r="C59" s="91"/>
      <c r="D59" s="91"/>
      <c r="E59" s="91"/>
      <c r="F59" s="92"/>
      <c r="G59" s="23">
        <f>(G54-G55)*(1+'Fane 15. Nøgletal'!C15)</f>
        <v>189090024.76787373</v>
      </c>
      <c r="H59" s="14" t="s">
        <v>3</v>
      </c>
      <c r="I59" s="1"/>
    </row>
    <row r="60" spans="1:9" x14ac:dyDescent="0.25">
      <c r="A60" s="1"/>
      <c r="B60" s="90" t="s">
        <v>174</v>
      </c>
      <c r="C60" s="91"/>
      <c r="D60" s="91"/>
      <c r="E60" s="91"/>
      <c r="F60" s="92"/>
      <c r="G60" s="23">
        <f>(G59)*'Fane 15. Nøgletal'!C26</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85" t="s">
        <v>197</v>
      </c>
      <c r="C63" s="86"/>
      <c r="D63" s="86"/>
      <c r="E63" s="86"/>
      <c r="F63" s="86"/>
      <c r="G63" s="86"/>
      <c r="H63" s="87"/>
      <c r="I63" s="1"/>
    </row>
    <row r="64" spans="1:9" x14ac:dyDescent="0.25">
      <c r="A64" s="1"/>
      <c r="B64" s="90" t="s">
        <v>198</v>
      </c>
      <c r="C64" s="91"/>
      <c r="D64" s="91"/>
      <c r="E64" s="91"/>
      <c r="F64" s="92"/>
      <c r="G64" s="23">
        <f>(G59-G60)*(1+'Fane 15. Nøgletal'!C15)</f>
        <v>195821629.64961004</v>
      </c>
      <c r="H64" s="14" t="s">
        <v>3</v>
      </c>
      <c r="I64" s="1"/>
    </row>
    <row r="65" spans="1:9" x14ac:dyDescent="0.25">
      <c r="A65" s="1"/>
      <c r="B65" s="90" t="s">
        <v>199</v>
      </c>
      <c r="C65" s="91"/>
      <c r="D65" s="91"/>
      <c r="E65" s="91"/>
      <c r="F65" s="92"/>
      <c r="G65" s="23">
        <f>(G64)*'Fane 15. Nøgletal'!C26</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S23Ik/eR921qkmi4pHtbWUA3SNNJRhP7eOUr3RK85jzsZt5HUyAUDjJ/C5TixEA81FwYAkO0HzBGbGlTqGq0Kg==" saltValue="JTKimz6Nu70B6aCeHob0tA==" spinCount="100000" sheet="1" objects="1" scenarios="1"/>
  <mergeCells count="2">
    <mergeCell ref="A2:I3"/>
    <mergeCell ref="B5:H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1" t="s">
        <v>88</v>
      </c>
      <c r="C3" s="121"/>
      <c r="D3" s="121"/>
      <c r="E3" s="121"/>
      <c r="F3" s="121"/>
      <c r="G3" s="121"/>
      <c r="H3" s="1"/>
    </row>
    <row r="4" spans="1:8" ht="15" customHeight="1" x14ac:dyDescent="0.25">
      <c r="A4" s="1"/>
      <c r="B4" s="121"/>
      <c r="C4" s="121"/>
      <c r="D4" s="121"/>
      <c r="E4" s="121"/>
      <c r="F4" s="121"/>
      <c r="G4" s="12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9" t="s">
        <v>10</v>
      </c>
      <c r="C8" s="130"/>
      <c r="D8" s="130"/>
      <c r="E8" s="130"/>
      <c r="F8" s="130"/>
      <c r="G8" s="130"/>
      <c r="H8" s="1"/>
    </row>
    <row r="9" spans="1:8" x14ac:dyDescent="0.25">
      <c r="A9" s="1"/>
      <c r="B9" s="138" t="s">
        <v>154</v>
      </c>
      <c r="C9" s="139"/>
      <c r="D9" s="139"/>
      <c r="E9" s="139"/>
      <c r="F9" s="140"/>
      <c r="G9" s="36">
        <v>1.0153607443584362E-2</v>
      </c>
      <c r="H9" s="1"/>
    </row>
    <row r="10" spans="1:8" x14ac:dyDescent="0.25">
      <c r="A10" s="1"/>
      <c r="B10" s="33"/>
      <c r="C10" s="28"/>
      <c r="D10" s="28"/>
      <c r="E10" s="28"/>
      <c r="F10" s="28"/>
      <c r="G10" s="28"/>
      <c r="H10" s="1"/>
    </row>
    <row r="11" spans="1:8" ht="29.25" customHeight="1" x14ac:dyDescent="0.25">
      <c r="A11" s="1"/>
      <c r="B11" s="148" t="s">
        <v>238</v>
      </c>
      <c r="C11" s="149"/>
      <c r="D11" s="149"/>
      <c r="E11" s="149"/>
      <c r="F11" s="149"/>
      <c r="G11" s="149"/>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1mlV/KH5BsbDJaoHtitHULScnDOyx1SaJQ340YxdWMxbRwInLQclYvHWflDbIUvrfgFeZpyOcnMyoqQuLUjfQw==" saltValue="v4N1RGJkNCjvx/7D74NeD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2022-12-06T11:23:02Z</dcterms:modified>
</cp:coreProperties>
</file>