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jørring Vandselskab AS (V08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<sst xmlns="http://schemas.openxmlformats.org/spreadsheetml/2006/main" count="618" uniqueCount="253">
  <si>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</si>
  <si>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</si>
  <si>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</si>
  <si>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</si>
  <si>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</si>
  <si>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</si>
  <si>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</si>
  <si>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</si>
  <si>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</si>
  <si>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</si>
  <si>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</si>
  <si>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</si>
  <si>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</si>
  <si>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</si>
  <si>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</si>
  <si>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</si>
  <si>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</si>
  <si>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</si>
  <si>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</si>
  <si>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</si>
  <si>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</si>
  <si>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</si>
  <si>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</si>
  <si>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</si>
  <si>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</si>
  <si>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</si>
  <si>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</si>
  <si>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</si>
  <si>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</si>
  <si>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</si>
  <si>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</si>
  <si>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</si>
  <si>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</si>
  <si>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</si>
  <si>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</si>
  <si>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</si>
  <si>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</si>
  <si>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</si>
  <si>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</si>
  <si>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</si>
  <si>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</si>
  <si>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</si>
  <si>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</si>
  <si>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</si>
  <si>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</si>
  <si>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</si>
  <si>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</si>
  <si>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</si>
  <si>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</si>
  <si>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</si>
  <si>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</si>
  <si>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</si>
  <si>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</si>
  <si>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</si>
  <si>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</si>
  <si>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</si>
  <si>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</si>
  <si>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</si>
  <si>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</si>
  <si>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</si>
  <si>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</si>
  <si>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</si>
  <si>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</si>
  <si>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</si>
  <si>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</si>
  <si>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</si>
  <si>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</si>
  <si>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</si>
  <si>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</si>
  <si>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</si>
  <si>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</si>
  <si>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</si>
  <si>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</si>
  <si>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</si>
  <si>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</si>
  <si>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</si>
  <si>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</si>
  <si>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</si>
  <si>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</si>
  <si>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</si>
  <si>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</si>
  <si>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</si>
  <si>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</si>
  <si>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</si>
  <si>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</si>
  <si>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</si>
  <si>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</si>
  <si>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</si>
  <si>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</si>
  <si>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</si>
  <si>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</si>
  <si>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</si>
  <si>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</si>
  <si>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</si>
  <si>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</si>
  <si>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</si>
  <si>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</si>
  <si>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</si>
  <si>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</si>
  <si>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</si>
  <si>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</si>
  <si>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</si>
  <si>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</si>
  <si>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</si>
  <si>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</si>
  <si>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</si>
  <si>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</si>
  <si>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</si>
  <si>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</si>
  <si>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</si>
  <si>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</si>
  <si>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</si>
  <si>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</si>
  <si>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</si>
  <si>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</si>
  <si>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</si>
  <si>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</si>
  <si>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</si>
  <si>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</si>
  <si>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</si>
  <si>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</si>
  <si>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</si>
  <si>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</si>
  <si>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</si>
  <si>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</si>
  <si>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</si>
  <si>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</si>
  <si>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</si>
  <si>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</si>
  <si>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</si>
  <si>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</si>
  <si>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</si>
  <si>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</si>
  <si>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</si>
  <si>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</si>
  <si>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</si>
  <si>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</si>
  <si>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</si>
  <si>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</si>
  <si>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</si>
  <si>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</si>
  <si>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</si>
  <si>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</si>
  <si>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</si>
  <si>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</si>
  <si>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</si>
  <si>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</si>
  <si>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</si>
  <si>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</si>
  <si>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</si>
  <si>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</si>
  <si>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</si>
  <si>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</si>
  <si>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</si>
  <si>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</si>
  <si>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</si>
  <si>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</si>
  <si>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</si>
  <si>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</si>
  <si>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</si>
  <si>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</si>
  <si>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</si>
  <si>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</si>
  <si>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</si>
  <si>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</si>
  <si>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</si>
  <si>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</si>
  <si>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</si>
  <si>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</si>
  <si>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</si>
  <si>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</si>
  <si>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</si>
  <si>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</si>
  <si>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</si>
  <si>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</si>
  <si>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</si>
  <si>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</si>
  <si>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</si>
  <si>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</si>
  <si>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</si>
  <si>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</si>
  <si>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</si>
  <si>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</si>
  <si>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</si>
  <si>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</si>
  <si>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</si>
  <si>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</si>
  <si>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</si>
  <si>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</si>
  <si>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</si>
  <si>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</si>
  <si>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</si>
  <si>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</si>
  <si>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</si>
  <si>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</si>
  <si>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</si>
  <si>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</si>
  <si>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</si>
  <si>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</si>
  <si>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</si>
  <si>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</si>
  <si>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</si>
  <si>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</si>
  <si>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</si>
  <si>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</si>
  <si>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</si>
  <si>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</si>
  <si>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</si>
  <si>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</si>
  <si>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</si>
  <si>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</si>
  <si>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</si>
  <si>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</si>
  <si>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</si>
  <si>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</si>
  <si>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</si>
  <si>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</si>
  <si>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</si>
  <si>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</si>
  <si>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</si>
  <si>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</si>
  <si>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</si>
  <si>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</si>
  <si>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</si>
  <si>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</si>
  <si>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</si>
  <si>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</si>
  <si>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</si>
  <si>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</si>
  <si>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</si>
  <si>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</si>
  <si>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Byggemodninger og tilslutninger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</si>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</sst>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166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180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181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182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183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szdnB7wMwqfFB7+DX0CeT5yJ5Wd4065ew2q/Q2NfcfMLzWD8txC0CZKZpLJiUsDhV4pzGPF336PxwH7jccB3w==" saltValue="DgLpInuNxcqssQBuPsNOGQ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203</v>
      </c>
      <c r="C8" s="113"/>
      <c r="D8" s="114"/>
      <c r="E8" s="1"/>
      <c r="F8" s="1"/>
    </row>
    <row r="9" spans="1:6" ht="15" customHeight="1" x14ac:dyDescent="0.25">
      <c r="A9" s="1"/>
      <c r="B9" s="50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5" t="s">
        <v>228</v>
      </c>
      <c r="C10" s="9">
        <v>19572777</v>
      </c>
      <c r="D10" s="14" t="s">
        <v>3</v>
      </c>
      <c r="E10" s="1"/>
      <c r="F10" s="1"/>
    </row>
    <row r="11" spans="1:6" x14ac:dyDescent="0.25">
      <c r="A11" s="1"/>
      <c r="B11" s="65" t="s">
        <v>229</v>
      </c>
      <c r="C11" s="9">
        <v>84835</v>
      </c>
      <c r="D11" s="14" t="s">
        <v>3</v>
      </c>
      <c r="E11" s="1"/>
      <c r="F11" s="1"/>
    </row>
    <row r="12" spans="1:6" x14ac:dyDescent="0.25">
      <c r="A12" s="1"/>
      <c r="B12" s="65" t="s">
        <v>230</v>
      </c>
      <c r="C12" s="9">
        <v>124527</v>
      </c>
      <c r="D12" s="14" t="s">
        <v>3</v>
      </c>
      <c r="E12" s="1"/>
      <c r="F12" s="1"/>
    </row>
    <row r="13" spans="1:6" x14ac:dyDescent="0.25">
      <c r="A13" s="1"/>
      <c r="B13" s="53" t="s">
        <v>205</v>
      </c>
      <c r="C13" s="12">
        <f>SUM(C10:C12)</f>
        <v>19782139</v>
      </c>
      <c r="D13" s="13" t="s">
        <v>3</v>
      </c>
      <c r="E13" s="1"/>
      <c r="F13" s="1"/>
    </row>
    <row r="14" spans="1:6" x14ac:dyDescent="0.25">
      <c r="A14" s="1"/>
      <c r="B14" s="53" t="s">
        <v>206</v>
      </c>
      <c r="C14" s="12">
        <f>C13*(1+'Fane 12. Nøgletal'!C14)^2</f>
        <v>19912916.544893712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WFvXSzFOTnAnh1oMAEUBdoET/xDh8XkLn8rQpkt6+lUlWorQVF0e8y2T0UPGdbKrpwNMZA+mUgkDxKE10W+KqQ==" saltValue="7wYqre3LxvUDCCnU+sNaC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221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7"/>
      <c r="C5" s="57"/>
      <c r="D5" s="57"/>
      <c r="E5" s="57"/>
      <c r="F5" s="57"/>
      <c r="G5" s="1"/>
    </row>
    <row r="6" spans="1:7" ht="15" customHeight="1" x14ac:dyDescent="0.25">
      <c r="A6" s="1"/>
      <c r="B6" s="57"/>
      <c r="C6" s="57"/>
      <c r="D6" s="57"/>
      <c r="E6" s="57"/>
      <c r="F6" s="5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234</v>
      </c>
      <c r="C8" s="113"/>
      <c r="D8" s="113"/>
      <c r="E8" s="113"/>
      <c r="F8" s="114"/>
      <c r="G8" s="1"/>
    </row>
    <row r="9" spans="1:7" x14ac:dyDescent="0.25">
      <c r="A9" s="1"/>
      <c r="B9" s="115" t="s">
        <v>235</v>
      </c>
      <c r="C9" s="116"/>
      <c r="D9" s="117"/>
      <c r="E9" s="9">
        <v>5091307.2272298858</v>
      </c>
      <c r="F9" s="14" t="s">
        <v>3</v>
      </c>
      <c r="G9" s="1"/>
    </row>
    <row r="10" spans="1:7" x14ac:dyDescent="0.25">
      <c r="A10" s="1"/>
      <c r="B10" s="115" t="s">
        <v>236</v>
      </c>
      <c r="C10" s="116"/>
      <c r="D10" s="117"/>
      <c r="E10" s="9">
        <v>726999.92488562316</v>
      </c>
      <c r="F10" s="14" t="s">
        <v>3</v>
      </c>
      <c r="G10" s="1"/>
    </row>
    <row r="11" spans="1:7" x14ac:dyDescent="0.25">
      <c r="A11" s="1"/>
      <c r="B11" s="115" t="s">
        <v>237</v>
      </c>
      <c r="C11" s="116"/>
      <c r="D11" s="117"/>
      <c r="E11" s="9">
        <v>221801.99429784715</v>
      </c>
      <c r="F11" s="14" t="s">
        <v>3</v>
      </c>
      <c r="G11" s="1"/>
    </row>
    <row r="12" spans="1:7" x14ac:dyDescent="0.25">
      <c r="A12" s="1"/>
      <c r="B12" s="115" t="s">
        <v>238</v>
      </c>
      <c r="C12" s="116"/>
      <c r="D12" s="117"/>
      <c r="E12" s="9">
        <f>IF(OR(AND(E10&gt;0,E11&lt;0),AND(E11&lt;0,E34&gt;0)),E17+E18,E11)</f>
        <v>221801.99429784715</v>
      </c>
      <c r="F12" s="14" t="s">
        <v>3</v>
      </c>
      <c r="G12" s="1"/>
    </row>
    <row r="13" spans="1:7" x14ac:dyDescent="0.25">
      <c r="A13" s="1"/>
      <c r="B13" s="53"/>
      <c r="C13" s="54"/>
      <c r="D13" s="54"/>
      <c r="E13" s="54"/>
      <c r="F13" s="20"/>
      <c r="G13" s="1"/>
    </row>
    <row r="14" spans="1:7" ht="54.75" customHeight="1" x14ac:dyDescent="0.25">
      <c r="A14" s="1"/>
      <c r="B14" s="101" t="s">
        <v>239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240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241</v>
      </c>
      <c r="C17" s="116"/>
      <c r="D17" s="117"/>
      <c r="E17" s="9">
        <v>0</v>
      </c>
      <c r="F17" s="14" t="s">
        <v>3</v>
      </c>
      <c r="G17" s="1"/>
    </row>
    <row r="18" spans="1:7" x14ac:dyDescent="0.25">
      <c r="A18" s="1"/>
      <c r="B18" s="115" t="s">
        <v>242</v>
      </c>
      <c r="C18" s="116"/>
      <c r="D18" s="117"/>
      <c r="E18" s="9">
        <v>0</v>
      </c>
      <c r="F18" s="14" t="s">
        <v>3</v>
      </c>
      <c r="G18" s="1"/>
    </row>
    <row r="19" spans="1:7" x14ac:dyDescent="0.25">
      <c r="A19" s="1"/>
      <c r="B19" s="53"/>
      <c r="C19" s="54"/>
      <c r="D19" s="54"/>
      <c r="E19" s="54"/>
      <c r="F19" s="20"/>
      <c r="G19" s="1"/>
    </row>
    <row r="20" spans="1:7" ht="30" customHeight="1" x14ac:dyDescent="0.25">
      <c r="A20" s="1"/>
      <c r="B20" s="101" t="s">
        <v>243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2" t="s">
        <v>207</v>
      </c>
      <c r="C22" s="63"/>
      <c r="D22" s="63"/>
      <c r="E22" s="63"/>
      <c r="F22" s="64"/>
      <c r="G22" s="1"/>
    </row>
    <row r="23" spans="1:7" x14ac:dyDescent="0.25">
      <c r="A23" s="1"/>
      <c r="B23" s="59" t="s">
        <v>208</v>
      </c>
      <c r="C23" s="60"/>
      <c r="D23" s="61"/>
      <c r="E23" s="9">
        <v>58443738.444050081</v>
      </c>
      <c r="F23" s="14" t="s">
        <v>3</v>
      </c>
      <c r="G23" s="1"/>
    </row>
    <row r="24" spans="1:7" x14ac:dyDescent="0.25">
      <c r="A24" s="1"/>
      <c r="B24" s="59" t="s">
        <v>209</v>
      </c>
      <c r="C24" s="60"/>
      <c r="D24" s="61"/>
      <c r="E24" s="9">
        <v>58880755</v>
      </c>
      <c r="F24" s="14" t="s">
        <v>3</v>
      </c>
      <c r="G24" s="1"/>
    </row>
    <row r="25" spans="1:7" x14ac:dyDescent="0.25">
      <c r="A25" s="1"/>
      <c r="B25" s="59" t="s">
        <v>34</v>
      </c>
      <c r="C25" s="60"/>
      <c r="D25" s="61"/>
      <c r="E25" s="9">
        <v>125000</v>
      </c>
      <c r="F25" s="14" t="s">
        <v>3</v>
      </c>
      <c r="G25" s="1"/>
    </row>
    <row r="26" spans="1:7" x14ac:dyDescent="0.25">
      <c r="A26" s="1"/>
      <c r="B26" s="67" t="s">
        <v>250</v>
      </c>
      <c r="C26" s="68"/>
      <c r="D26" s="69"/>
      <c r="E26" s="45">
        <f>E23-(E24-E25)</f>
        <v>-312016.55594991893</v>
      </c>
      <c r="F26" s="17" t="s">
        <v>3</v>
      </c>
      <c r="G26" s="1"/>
    </row>
    <row r="27" spans="1:7" x14ac:dyDescent="0.25">
      <c r="A27" s="1"/>
      <c r="B27" s="53"/>
      <c r="C27" s="54"/>
      <c r="D27" s="54"/>
      <c r="E27" s="54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244</v>
      </c>
      <c r="C29" s="113"/>
      <c r="D29" s="113"/>
      <c r="E29" s="113"/>
      <c r="F29" s="114"/>
      <c r="G29" s="1"/>
    </row>
    <row r="30" spans="1:7" x14ac:dyDescent="0.25">
      <c r="A30" s="1"/>
      <c r="B30" s="130" t="s">
        <v>245</v>
      </c>
      <c r="C30" s="131"/>
      <c r="D30" s="132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246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251</v>
      </c>
      <c r="C34" s="138"/>
      <c r="D34" s="139"/>
      <c r="E34" s="9">
        <v>3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0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101" t="s">
        <v>249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QRsFGU537Gz8aGe7wTSYl3F+VSCZfMITqaOMNTLflJMiCTdpmPSFLSZRYtvTz/X8DmheAPPCFm62ozgfNgeMg==" saltValue="d1SjZK1ZocsN0uIi5mgqRg==" spinCount="100000" sheet="1" objects="1" scenarios="1"/>
  <mergeCells count="21"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3:F4"/>
    <mergeCell ref="B17:D17"/>
    <mergeCell ref="B9:D9"/>
    <mergeCell ref="B29:F29"/>
    <mergeCell ref="B30:D3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6"/>
      <c r="I9" s="1"/>
    </row>
    <row r="10" spans="1:9" x14ac:dyDescent="0.25">
      <c r="A10" s="1"/>
      <c r="B10" s="46" t="s">
        <v>252</v>
      </c>
      <c r="C10" s="47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BG84UU8SAyAcUefW/Ui1xXvnbv0HeCR5I7nO6HVknvzSHAKyhDvkd044HdM3FXDGyZGYdeV0c2oE7R+vjGiTQ==" saltValue="2p8oJt4qT5J/4X/uYMIdd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3" t="s">
        <v>84</v>
      </c>
      <c r="C8" s="54"/>
      <c r="D8" s="54"/>
      <c r="E8" s="54"/>
      <c r="F8" s="20"/>
      <c r="G8" s="1"/>
    </row>
    <row r="9" spans="1:7" ht="17.25" customHeight="1" x14ac:dyDescent="0.25">
      <c r="A9" s="1"/>
      <c r="B9" s="51" t="s">
        <v>16</v>
      </c>
      <c r="C9" s="51" t="s">
        <v>11</v>
      </c>
      <c r="D9" s="52"/>
      <c r="E9" s="51" t="s">
        <v>32</v>
      </c>
      <c r="F9" s="56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231</v>
      </c>
      <c r="C11" s="22">
        <v>98638</v>
      </c>
      <c r="D11" s="14" t="s">
        <v>3</v>
      </c>
      <c r="E11" s="9">
        <v>20755</v>
      </c>
      <c r="F11" s="14" t="s">
        <v>3</v>
      </c>
      <c r="G11" s="1"/>
    </row>
    <row r="12" spans="1:7" x14ac:dyDescent="0.25">
      <c r="A12" s="1"/>
      <c r="B12" s="53" t="s">
        <v>136</v>
      </c>
      <c r="C12" s="12">
        <f>SUM(C10:C11)</f>
        <v>98638</v>
      </c>
      <c r="D12" s="13" t="s">
        <v>3</v>
      </c>
      <c r="E12" s="12">
        <f>SUM(E10:E11)</f>
        <v>20755</v>
      </c>
      <c r="F12" s="13" t="s">
        <v>3</v>
      </c>
      <c r="G12" s="1"/>
    </row>
    <row r="13" spans="1:7" x14ac:dyDescent="0.25">
      <c r="A13" s="1"/>
      <c r="B13" s="53" t="s">
        <v>210</v>
      </c>
      <c r="C13" s="12">
        <f>C12*(1+'Fane 12. Nøgletal'!C14)</f>
        <v>98963.505400000009</v>
      </c>
      <c r="D13" s="13" t="s">
        <v>3</v>
      </c>
      <c r="E13" s="12">
        <f>E12*(1+'Fane 12. Nøgletal'!C14)</f>
        <v>20823.4915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JbOdTztQJ3deZIWY+JKwz2CcL+PuIaNZEiwiTnNBsA6HYCk5pQsi7d5kaNw3Om8E9qCQHeQblK49ty6gIE7EA==" saltValue="iqw8Ms7Z7aDn4hMbZfJZg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51" t="s">
        <v>16</v>
      </c>
      <c r="C9" s="51" t="s">
        <v>11</v>
      </c>
      <c r="D9" s="52"/>
      <c r="E9" s="51" t="s">
        <v>32</v>
      </c>
      <c r="F9" s="56"/>
      <c r="G9" s="1"/>
    </row>
    <row r="10" spans="1:7" x14ac:dyDescent="0.25">
      <c r="A10" s="1"/>
      <c r="B10" s="25" t="s">
        <v>232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3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3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51" t="s">
        <v>16</v>
      </c>
      <c r="C17" s="51" t="s">
        <v>11</v>
      </c>
      <c r="D17" s="52"/>
      <c r="E17" s="51" t="s">
        <v>32</v>
      </c>
      <c r="F17" s="56"/>
      <c r="G17" s="1"/>
    </row>
    <row r="18" spans="1:7" x14ac:dyDescent="0.25">
      <c r="A18" s="1"/>
      <c r="B18" s="25" t="s">
        <v>232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3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3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51" t="s">
        <v>16</v>
      </c>
      <c r="C25" s="51" t="s">
        <v>11</v>
      </c>
      <c r="D25" s="52"/>
      <c r="E25" s="51" t="s">
        <v>32</v>
      </c>
      <c r="F25" s="56"/>
      <c r="G25" s="1"/>
    </row>
    <row r="26" spans="1:7" x14ac:dyDescent="0.25">
      <c r="A26" s="1"/>
      <c r="B26" s="25" t="s">
        <v>232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3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3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212</v>
      </c>
      <c r="C32" s="113"/>
      <c r="D32" s="113"/>
      <c r="E32" s="113"/>
      <c r="F32" s="114"/>
      <c r="G32" s="1"/>
    </row>
    <row r="33" spans="1:7" x14ac:dyDescent="0.25">
      <c r="A33" s="1"/>
      <c r="B33" s="51" t="s">
        <v>16</v>
      </c>
      <c r="C33" s="51" t="s">
        <v>11</v>
      </c>
      <c r="D33" s="52"/>
      <c r="E33" s="51" t="s">
        <v>32</v>
      </c>
      <c r="F33" s="56"/>
      <c r="G33" s="1"/>
    </row>
    <row r="34" spans="1:7" x14ac:dyDescent="0.25">
      <c r="A34" s="1"/>
      <c r="B34" s="25" t="s">
        <v>232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3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3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cTszRoc3H3vQcoKgMIqOsDi45a+RPdU78EKEUppdFt9bc1clGqLAqXS3KyqHS/Dj9i5jiExQ6zNQNBjLGI6NQ==" saltValue="IFLaYnYfCRXX5Lv6nDKnI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5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HvpObo13whpeFLLMe7OVU4RLunLOV74eAfn+m/dIoswKP/Mnyaf3DxVry0LdxbejPAY1RMtkgaMeND1Iwj5REg==" saltValue="7O5nZaPkVF14Kv8eeiLQV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5" t="s">
        <v>17</v>
      </c>
      <c r="C9" s="55" t="s">
        <v>11</v>
      </c>
      <c r="D9" s="56"/>
      <c r="E9" s="55" t="s">
        <v>32</v>
      </c>
      <c r="F9" s="56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3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3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5" t="s">
        <v>17</v>
      </c>
      <c r="C16" s="55" t="s">
        <v>11</v>
      </c>
      <c r="D16" s="56"/>
      <c r="E16" s="55" t="s">
        <v>32</v>
      </c>
      <c r="F16" s="56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3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3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5" t="s">
        <v>17</v>
      </c>
      <c r="C23" s="55" t="s">
        <v>11</v>
      </c>
      <c r="D23" s="56"/>
      <c r="E23" s="55" t="s">
        <v>32</v>
      </c>
      <c r="F23" s="56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3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3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215</v>
      </c>
      <c r="C29" s="113"/>
      <c r="D29" s="113"/>
      <c r="E29" s="113"/>
      <c r="F29" s="114"/>
      <c r="G29" s="1"/>
    </row>
    <row r="30" spans="1:7" ht="26.25" x14ac:dyDescent="0.25">
      <c r="A30" s="1"/>
      <c r="B30" s="55" t="s">
        <v>17</v>
      </c>
      <c r="C30" s="55" t="s">
        <v>11</v>
      </c>
      <c r="D30" s="56"/>
      <c r="E30" s="55" t="s">
        <v>32</v>
      </c>
      <c r="F30" s="56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3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3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LNJ5+OJju9jc8hXm/bggKVhigMHS7Lv4OBEyKsPUwIjpwUEFVhnZC92schF+3FjfRgaSGO/FG/SIxwahqLNYA==" saltValue="bhA5aqjx5jPthlYo/JQuW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3" t="s">
        <v>14</v>
      </c>
      <c r="C8" s="20"/>
      <c r="D8" s="1"/>
    </row>
    <row r="9" spans="1:4" x14ac:dyDescent="0.25">
      <c r="A9" s="1"/>
      <c r="B9" s="65" t="s">
        <v>118</v>
      </c>
      <c r="C9" s="26">
        <v>1.2699999999999999E-2</v>
      </c>
      <c r="D9" s="1"/>
    </row>
    <row r="10" spans="1:4" x14ac:dyDescent="0.25">
      <c r="A10" s="1"/>
      <c r="B10" s="65" t="s">
        <v>22</v>
      </c>
      <c r="C10" s="26">
        <v>1.7500000000000002E-2</v>
      </c>
      <c r="D10" s="1"/>
    </row>
    <row r="11" spans="1:4" x14ac:dyDescent="0.25">
      <c r="A11" s="1"/>
      <c r="B11" s="65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8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3" t="s">
        <v>106</v>
      </c>
      <c r="C18" s="20"/>
      <c r="D18" s="1"/>
    </row>
    <row r="19" spans="1:4" x14ac:dyDescent="0.25">
      <c r="A19" s="1"/>
      <c r="B19" s="65" t="s">
        <v>120</v>
      </c>
      <c r="C19" s="23">
        <v>9.1000000000000004E-3</v>
      </c>
      <c r="D19" s="1"/>
    </row>
    <row r="20" spans="1:4" x14ac:dyDescent="0.25">
      <c r="A20" s="1"/>
      <c r="B20" s="65" t="s">
        <v>121</v>
      </c>
      <c r="C20" s="23">
        <v>1.77E-2</v>
      </c>
      <c r="D20" s="1"/>
    </row>
    <row r="21" spans="1:4" x14ac:dyDescent="0.25">
      <c r="A21" s="1"/>
      <c r="B21" s="65" t="s">
        <v>122</v>
      </c>
      <c r="C21" s="23">
        <v>8.6999999999999994E-3</v>
      </c>
      <c r="D21" s="1"/>
    </row>
    <row r="22" spans="1:4" x14ac:dyDescent="0.25">
      <c r="A22" s="1"/>
      <c r="B22" s="65" t="s">
        <v>123</v>
      </c>
      <c r="C22" s="35">
        <v>2.8400000000000002E-2</v>
      </c>
      <c r="D22" s="1"/>
    </row>
    <row r="23" spans="1:4" x14ac:dyDescent="0.25">
      <c r="A23" s="1"/>
      <c r="B23" s="65" t="s">
        <v>146</v>
      </c>
      <c r="C23" s="35">
        <v>2.75E-2</v>
      </c>
      <c r="D23" s="1"/>
    </row>
    <row r="24" spans="1:4" x14ac:dyDescent="0.25">
      <c r="A24" s="1"/>
      <c r="B24" s="65" t="s">
        <v>218</v>
      </c>
      <c r="C24" s="35">
        <v>1.4800000000000001E-2</v>
      </c>
      <c r="D24" s="1"/>
    </row>
    <row r="25" spans="1:4" x14ac:dyDescent="0.25">
      <c r="A25" s="1"/>
      <c r="B25" s="53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3" t="s">
        <v>107</v>
      </c>
      <c r="C28" s="20"/>
      <c r="D28" s="1"/>
    </row>
    <row r="29" spans="1:4" x14ac:dyDescent="0.25">
      <c r="A29" s="1"/>
      <c r="B29" s="65" t="s">
        <v>124</v>
      </c>
      <c r="C29" s="26">
        <v>0.02</v>
      </c>
      <c r="D29" s="1"/>
    </row>
    <row r="30" spans="1:4" x14ac:dyDescent="0.25">
      <c r="A30" s="1"/>
      <c r="B30" s="53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vvv7fAap2npmtPMvBCMDw/d7qNJmNIO2z9zGBovnUs2uMrpdm1QMwnPP2WSq6mwNJ75tC4Mm/sd4YsKewnV3Ew==" saltValue="J+V8w2aDiMkFOvS1GdETy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3" t="s">
        <v>13</v>
      </c>
      <c r="C8" s="54"/>
      <c r="D8" s="20"/>
      <c r="E8" s="1"/>
    </row>
    <row r="9" spans="1:5" x14ac:dyDescent="0.25">
      <c r="A9" s="1"/>
      <c r="B9" s="58" t="s">
        <v>24</v>
      </c>
      <c r="C9" s="7">
        <f>'Fane 3. Omkostninger i ØR2021'!E20</f>
        <v>36690697.884393141</v>
      </c>
      <c r="D9" s="8" t="s">
        <v>3</v>
      </c>
      <c r="E9" s="1"/>
    </row>
    <row r="10" spans="1:5" x14ac:dyDescent="0.25">
      <c r="A10" s="1"/>
      <c r="B10" s="49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178251.94816094011</v>
      </c>
      <c r="D10" s="8" t="s">
        <v>3</v>
      </c>
      <c r="E10" s="1"/>
    </row>
    <row r="11" spans="1:5" x14ac:dyDescent="0.25">
      <c r="A11" s="1"/>
      <c r="B11" s="49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5550.6964088551076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98963.505400000009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20823.4915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448021.81127936637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-303790.1158281907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-299634.14399745758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-661361.46006045747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35993720.972686395</v>
      </c>
      <c r="D22" s="11" t="s">
        <v>3</v>
      </c>
      <c r="E22" s="1"/>
    </row>
    <row r="23" spans="1:5" ht="15" customHeight="1" x14ac:dyDescent="0.25">
      <c r="A23" s="1"/>
      <c r="B23" s="53" t="s">
        <v>12</v>
      </c>
      <c r="C23" s="54"/>
      <c r="D23" s="20"/>
      <c r="E23" s="1"/>
    </row>
    <row r="24" spans="1:5" ht="15" customHeight="1" x14ac:dyDescent="0.25">
      <c r="A24" s="1"/>
      <c r="B24" s="55" t="s">
        <v>12</v>
      </c>
      <c r="C24" s="10">
        <f>'Fane 6. Ikke-påvirkelige omk.'!C14</f>
        <v>19912916.544893712</v>
      </c>
      <c r="D24" s="11" t="s">
        <v>3</v>
      </c>
      <c r="E24" s="1"/>
    </row>
    <row r="25" spans="1:5" ht="15" customHeight="1" x14ac:dyDescent="0.25">
      <c r="A25" s="1"/>
      <c r="B25" s="53" t="s">
        <v>89</v>
      </c>
      <c r="C25" s="54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4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4"/>
      <c r="D31" s="20"/>
      <c r="E31" s="1"/>
    </row>
    <row r="32" spans="1:5" x14ac:dyDescent="0.25">
      <c r="A32" s="1"/>
      <c r="B32" s="66" t="s">
        <v>226</v>
      </c>
      <c r="C32" s="10">
        <v>-870282</v>
      </c>
      <c r="D32" s="11" t="s">
        <v>3</v>
      </c>
      <c r="E32" s="1"/>
    </row>
    <row r="33" spans="1:5" x14ac:dyDescent="0.25">
      <c r="A33" s="1"/>
      <c r="B33" s="53" t="s">
        <v>30</v>
      </c>
      <c r="C33" s="31">
        <f>SUM(C22,C24,C28,C30,C32)</f>
        <v>55036355.517580107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0HAXOsv9yq5jTQgPzCNKqOLpeNUbYYZ0oi+w9QWfWLx0ZxOcuULmdgYZqBN5KD4OXwipbp/Hf/rKpojvr/eLxg==" saltValue="g/jv2m8Vrpjs2eGxNweSw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3" t="s">
        <v>13</v>
      </c>
      <c r="C8" s="54"/>
      <c r="D8" s="20"/>
      <c r="E8" s="1"/>
    </row>
    <row r="9" spans="1:5" ht="15" customHeight="1" x14ac:dyDescent="0.25">
      <c r="A9" s="1"/>
      <c r="B9" s="58" t="s">
        <v>134</v>
      </c>
      <c r="C9" s="7">
        <f>'Fane 2.1. Økonomisk ramme 2022'!C22</f>
        <v>35993720.972686395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9" t="s">
        <v>18</v>
      </c>
      <c r="C12" s="9">
        <f>SUM(C9:C11)*'Fane 12. Nøgletal'!C14</f>
        <v>118779.2792098651</v>
      </c>
      <c r="D12" s="8" t="s">
        <v>3</v>
      </c>
      <c r="E12" s="1"/>
    </row>
    <row r="13" spans="1:5" ht="15" customHeight="1" x14ac:dyDescent="0.25">
      <c r="A13" s="1"/>
      <c r="B13" s="49" t="s">
        <v>9</v>
      </c>
      <c r="C13" s="9">
        <f>-SUM(C9:C12)*'Fane 5. Individuelt eff. krav'!G10</f>
        <v>-294446.06368392456</v>
      </c>
      <c r="D13" s="8" t="s">
        <v>3</v>
      </c>
      <c r="E13" s="1"/>
    </row>
    <row r="14" spans="1:5" ht="15" customHeight="1" x14ac:dyDescent="0.25">
      <c r="A14" s="1"/>
      <c r="B14" s="49" t="s">
        <v>25</v>
      </c>
      <c r="C14" s="9">
        <f>-'Fane 4.1. Gen. krav - drift'!G44</f>
        <v>-294610.47793919622</v>
      </c>
      <c r="D14" s="8" t="s">
        <v>3</v>
      </c>
      <c r="E14" s="1"/>
    </row>
    <row r="15" spans="1:5" ht="15" customHeight="1" x14ac:dyDescent="0.25">
      <c r="A15" s="1"/>
      <c r="B15" s="49" t="s">
        <v>26</v>
      </c>
      <c r="C15" s="9">
        <f>-'Fane 4.2. Gen. krav - anlæg'!G44</f>
        <v>-347430.10807850841</v>
      </c>
      <c r="D15" s="8" t="s">
        <v>3</v>
      </c>
      <c r="E15" s="1"/>
    </row>
    <row r="16" spans="1:5" ht="15" customHeight="1" x14ac:dyDescent="0.25">
      <c r="A16" s="1"/>
      <c r="B16" s="50" t="s">
        <v>20</v>
      </c>
      <c r="C16" s="10">
        <f>SUM(C9:C15)</f>
        <v>35176013.60219463</v>
      </c>
      <c r="D16" s="11" t="s">
        <v>3</v>
      </c>
      <c r="E16" s="1"/>
    </row>
    <row r="17" spans="1:5" x14ac:dyDescent="0.25">
      <c r="A17" s="1"/>
      <c r="B17" s="53" t="s">
        <v>12</v>
      </c>
      <c r="C17" s="54"/>
      <c r="D17" s="20"/>
      <c r="E17" s="1"/>
    </row>
    <row r="18" spans="1:5" ht="15" customHeight="1" x14ac:dyDescent="0.25">
      <c r="A18" s="1"/>
      <c r="B18" s="55" t="s">
        <v>12</v>
      </c>
      <c r="C18" s="10">
        <f>'Fane 6. Ikke-påvirkelige omk.'!C14*(1+'Fane 12. Nøgletal'!C14)</f>
        <v>19978629.169491861</v>
      </c>
      <c r="D18" s="11" t="s">
        <v>3</v>
      </c>
      <c r="E18" s="1"/>
    </row>
    <row r="19" spans="1:5" ht="15" customHeight="1" x14ac:dyDescent="0.25">
      <c r="A19" s="1"/>
      <c r="B19" s="53" t="s">
        <v>89</v>
      </c>
      <c r="C19" s="54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7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4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4"/>
      <c r="D25" s="20"/>
      <c r="E25" s="1"/>
    </row>
    <row r="26" spans="1:5" x14ac:dyDescent="0.25">
      <c r="A26" s="1"/>
      <c r="B26" s="66" t="s">
        <v>226</v>
      </c>
      <c r="C26" s="10">
        <v>-870282</v>
      </c>
      <c r="D26" s="11" t="s">
        <v>3</v>
      </c>
      <c r="E26" s="1"/>
    </row>
    <row r="27" spans="1:5" x14ac:dyDescent="0.25">
      <c r="A27" s="1"/>
      <c r="B27" s="53" t="s">
        <v>97</v>
      </c>
      <c r="C27" s="12">
        <f>SUM(C16,C18,C22,C24,C26)</f>
        <v>54284360.771686494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8Bxh95RVqbdRiS0y8DWJFojl9gj21yCiXE4NLEecm5tDXXFl+2SEodfyICy/luWtXx4TFZxPm2wNJvJ6GRQtA==" saltValue="T4bWLm8BxlY/mzGTvs5Mk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3" t="s">
        <v>13</v>
      </c>
      <c r="C7" s="54"/>
      <c r="D7" s="20"/>
      <c r="E7" s="1"/>
    </row>
    <row r="8" spans="1:5" ht="15" customHeight="1" x14ac:dyDescent="0.25">
      <c r="A8" s="1"/>
      <c r="B8" s="58" t="s">
        <v>135</v>
      </c>
      <c r="C8" s="7">
        <f>'Fane 2.2. Økonomisk ramme 2023'!C16</f>
        <v>35176013.60219463</v>
      </c>
      <c r="D8" s="8" t="s">
        <v>3</v>
      </c>
      <c r="E8" s="1"/>
    </row>
    <row r="9" spans="1:5" ht="15" customHeight="1" x14ac:dyDescent="0.25">
      <c r="A9" s="1"/>
      <c r="B9" s="58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8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9" t="s">
        <v>18</v>
      </c>
      <c r="C11" s="9">
        <f>SUM(C8:C10)*'Fane 12. Nøgletal'!C14</f>
        <v>116080.84488724227</v>
      </c>
      <c r="D11" s="8" t="s">
        <v>3</v>
      </c>
      <c r="E11" s="1"/>
    </row>
    <row r="12" spans="1:5" ht="15" customHeight="1" x14ac:dyDescent="0.25">
      <c r="A12" s="1"/>
      <c r="B12" s="49" t="s">
        <v>9</v>
      </c>
      <c r="C12" s="9">
        <f>-SUM(C8:C11)*'Fane 5. Individuelt eff. krav'!G10</f>
        <v>-287756.82150556403</v>
      </c>
      <c r="D12" s="8" t="s">
        <v>3</v>
      </c>
      <c r="E12" s="1"/>
    </row>
    <row r="13" spans="1:5" ht="15" customHeight="1" x14ac:dyDescent="0.25">
      <c r="A13" s="1"/>
      <c r="B13" s="49" t="s">
        <v>25</v>
      </c>
      <c r="C13" s="9">
        <f>-'Fane 4.1. Gen. krav - drift'!G50</f>
        <v>-289671.0386660677</v>
      </c>
      <c r="D13" s="8" t="s">
        <v>3</v>
      </c>
      <c r="E13" s="1"/>
    </row>
    <row r="14" spans="1:5" ht="15" customHeight="1" x14ac:dyDescent="0.25">
      <c r="A14" s="1"/>
      <c r="B14" s="49" t="s">
        <v>26</v>
      </c>
      <c r="C14" s="43">
        <f>-'Fane 4.2. Gen. krav - anlæg'!G50</f>
        <v>-343417.69334912702</v>
      </c>
      <c r="D14" s="8" t="s">
        <v>3</v>
      </c>
      <c r="E14" s="1"/>
    </row>
    <row r="15" spans="1:5" x14ac:dyDescent="0.25">
      <c r="A15" s="1"/>
      <c r="B15" s="50" t="s">
        <v>20</v>
      </c>
      <c r="C15" s="10">
        <f>SUM(C8:C14)</f>
        <v>34371248.89356111</v>
      </c>
      <c r="D15" s="11" t="s">
        <v>3</v>
      </c>
      <c r="E15" s="1"/>
    </row>
    <row r="16" spans="1:5" x14ac:dyDescent="0.25">
      <c r="A16" s="1"/>
      <c r="B16" s="53" t="s">
        <v>12</v>
      </c>
      <c r="C16" s="54"/>
      <c r="D16" s="20"/>
      <c r="E16" s="1"/>
    </row>
    <row r="17" spans="1:5" ht="15" customHeight="1" x14ac:dyDescent="0.25">
      <c r="A17" s="1"/>
      <c r="B17" s="55" t="s">
        <v>12</v>
      </c>
      <c r="C17" s="10">
        <f>'Fane 6. Ikke-påvirkelige omk.'!C14*(1+'Fane 12. Nøgletal'!C14)^2</f>
        <v>20044558.645751186</v>
      </c>
      <c r="D17" s="11" t="s">
        <v>3</v>
      </c>
      <c r="E17" s="1"/>
    </row>
    <row r="18" spans="1:5" ht="15" customHeight="1" x14ac:dyDescent="0.25">
      <c r="A18" s="1"/>
      <c r="B18" s="53" t="s">
        <v>89</v>
      </c>
      <c r="C18" s="54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3" t="s">
        <v>161</v>
      </c>
      <c r="C22" s="54"/>
      <c r="D22" s="20"/>
      <c r="E22" s="1"/>
    </row>
    <row r="23" spans="1:5" x14ac:dyDescent="0.25">
      <c r="A23" s="1"/>
      <c r="B23" s="55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4"/>
      <c r="D24" s="20"/>
      <c r="E24" s="1"/>
    </row>
    <row r="25" spans="1:5" ht="15" customHeight="1" x14ac:dyDescent="0.25">
      <c r="A25" s="1"/>
      <c r="B25" s="66" t="s">
        <v>226</v>
      </c>
      <c r="C25" s="10">
        <v>-870282</v>
      </c>
      <c r="D25" s="11" t="s">
        <v>3</v>
      </c>
      <c r="E25" s="1"/>
    </row>
    <row r="26" spans="1:5" x14ac:dyDescent="0.25">
      <c r="A26" s="1"/>
      <c r="B26" s="53" t="s">
        <v>187</v>
      </c>
      <c r="C26" s="12">
        <f>SUM(C15,C17,C21,C23,C25)</f>
        <v>53545525.539312296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j1zczgOIT5NttECYZ3OHOgfQIQpWr8Hn96fow1jQM35BtwpeFj+QvcRhIDjWGrwEt5OoTD2OTk6RL3lH9z99mQ==" saltValue="ZVYkxtlBjQZiRSYZGgjDf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3" t="s">
        <v>13</v>
      </c>
      <c r="C7" s="54"/>
      <c r="D7" s="20"/>
      <c r="E7" s="1"/>
    </row>
    <row r="8" spans="1:5" ht="15" customHeight="1" x14ac:dyDescent="0.25">
      <c r="A8" s="1"/>
      <c r="B8" s="58" t="s">
        <v>189</v>
      </c>
      <c r="C8" s="7">
        <f>'Fane 2.3. Økonomisk ramme 2024'!C15</f>
        <v>34371248.89356111</v>
      </c>
      <c r="D8" s="8" t="s">
        <v>3</v>
      </c>
      <c r="E8" s="1"/>
    </row>
    <row r="9" spans="1:5" ht="15" customHeight="1" x14ac:dyDescent="0.25">
      <c r="A9" s="1"/>
      <c r="B9" s="58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8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9" t="s">
        <v>18</v>
      </c>
      <c r="C11" s="9">
        <f>SUM(C8:C10)*'Fane 12. Nøgletal'!C14</f>
        <v>113425.12134875167</v>
      </c>
      <c r="D11" s="8" t="s">
        <v>3</v>
      </c>
      <c r="E11" s="1"/>
    </row>
    <row r="12" spans="1:5" ht="15" customHeight="1" x14ac:dyDescent="0.25">
      <c r="A12" s="1"/>
      <c r="B12" s="49" t="s">
        <v>9</v>
      </c>
      <c r="C12" s="9">
        <f>-SUM(C8:C11)*'Fane 5. Individuelt eff. krav'!G10</f>
        <v>-281173.45656731003</v>
      </c>
      <c r="D12" s="8" t="s">
        <v>3</v>
      </c>
      <c r="E12" s="1"/>
    </row>
    <row r="13" spans="1:5" ht="15" customHeight="1" x14ac:dyDescent="0.25">
      <c r="A13" s="1"/>
      <c r="B13" s="49" t="s">
        <v>25</v>
      </c>
      <c r="C13" s="9">
        <f>-'Fane 4.1. Gen. krav - drift'!G56</f>
        <v>-284814.41403179243</v>
      </c>
      <c r="D13" s="8" t="s">
        <v>3</v>
      </c>
      <c r="E13" s="1"/>
    </row>
    <row r="14" spans="1:5" ht="15" customHeight="1" x14ac:dyDescent="0.25">
      <c r="A14" s="1"/>
      <c r="B14" s="49" t="s">
        <v>26</v>
      </c>
      <c r="C14" s="9">
        <f>-'Fane 4.2. Gen. krav - anlæg'!G56</f>
        <v>-339451.61735546892</v>
      </c>
      <c r="D14" s="8" t="s">
        <v>3</v>
      </c>
      <c r="E14" s="1"/>
    </row>
    <row r="15" spans="1:5" x14ac:dyDescent="0.25">
      <c r="A15" s="1"/>
      <c r="B15" s="50" t="s">
        <v>20</v>
      </c>
      <c r="C15" s="10">
        <f>SUM(C8:C14)</f>
        <v>33579234.526955292</v>
      </c>
      <c r="D15" s="11" t="s">
        <v>3</v>
      </c>
      <c r="E15" s="1"/>
    </row>
    <row r="16" spans="1:5" x14ac:dyDescent="0.25">
      <c r="A16" s="1"/>
      <c r="B16" s="53" t="s">
        <v>12</v>
      </c>
      <c r="C16" s="54"/>
      <c r="D16" s="20"/>
      <c r="E16" s="1"/>
    </row>
    <row r="17" spans="1:5" ht="15" customHeight="1" x14ac:dyDescent="0.25">
      <c r="A17" s="1"/>
      <c r="B17" s="55" t="s">
        <v>12</v>
      </c>
      <c r="C17" s="10">
        <f>'Fane 6. Ikke-påvirkelige omk.'!C14*(1+'Fane 12. Nøgletal'!C14)^3</f>
        <v>20110705.689282168</v>
      </c>
      <c r="D17" s="11" t="s">
        <v>3</v>
      </c>
      <c r="E17" s="1"/>
    </row>
    <row r="18" spans="1:5" ht="15" customHeight="1" x14ac:dyDescent="0.25">
      <c r="A18" s="1"/>
      <c r="B18" s="53" t="s">
        <v>89</v>
      </c>
      <c r="C18" s="54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3" t="s">
        <v>161</v>
      </c>
      <c r="C22" s="54"/>
      <c r="D22" s="20"/>
      <c r="E22" s="1"/>
    </row>
    <row r="23" spans="1:5" x14ac:dyDescent="0.25">
      <c r="A23" s="1"/>
      <c r="B23" s="55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4"/>
      <c r="D24" s="20"/>
      <c r="E24" s="1"/>
    </row>
    <row r="25" spans="1:5" x14ac:dyDescent="0.25">
      <c r="A25" s="1"/>
      <c r="B25" s="66" t="s">
        <v>226</v>
      </c>
      <c r="C25" s="10">
        <v>-870282</v>
      </c>
      <c r="D25" s="11" t="s">
        <v>3</v>
      </c>
      <c r="E25" s="1"/>
    </row>
    <row r="26" spans="1:5" x14ac:dyDescent="0.25">
      <c r="A26" s="1"/>
      <c r="B26" s="53" t="s">
        <v>190</v>
      </c>
      <c r="C26" s="12">
        <f>SUM(C15,C17,C21,C23,C25)</f>
        <v>52819658.216237456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x7VzpXqgbgocfUhkuuSdRlfBNR0PdlJgHnje8uKYnp/X+PdtubeOFjDnxgHVq7B3tuzXqFx8s8CePOYYMWCq9g==" saltValue="op/dt4PNMo307LAe5/5W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191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3" t="s">
        <v>224</v>
      </c>
      <c r="C8" s="54"/>
      <c r="D8" s="54"/>
      <c r="E8" s="54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37327353.827346221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181205.05619999999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5686.5396000000001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457673.79416238389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-309606.98002275237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-300062.04135879123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-671552.31153392117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36690697.884393141</v>
      </c>
      <c r="F20" s="11" t="s">
        <v>3</v>
      </c>
      <c r="G20" s="1"/>
    </row>
    <row r="21" spans="1:7" x14ac:dyDescent="0.25">
      <c r="A21" s="1"/>
      <c r="B21" s="53" t="s">
        <v>12</v>
      </c>
      <c r="C21" s="54"/>
      <c r="D21" s="54"/>
      <c r="E21" s="54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21542968.1806794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4"/>
      <c r="F23" s="54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3" t="s">
        <v>161</v>
      </c>
      <c r="C27" s="54"/>
      <c r="D27" s="54"/>
      <c r="E27" s="54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3" t="s">
        <v>247</v>
      </c>
      <c r="C29" s="54"/>
      <c r="D29" s="54"/>
      <c r="E29" s="54"/>
      <c r="F29" s="20"/>
      <c r="G29" s="1"/>
    </row>
    <row r="30" spans="1:7" ht="15.6" customHeight="1" x14ac:dyDescent="0.25">
      <c r="A30" s="1"/>
      <c r="B30" s="94" t="s">
        <v>248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3" t="s">
        <v>29</v>
      </c>
      <c r="C31" s="54"/>
      <c r="D31" s="54"/>
      <c r="E31" s="12">
        <f>E20+E22+E26+E28+E30</f>
        <v>58233666.065072536</v>
      </c>
      <c r="F31" s="13" t="s">
        <v>3</v>
      </c>
      <c r="G31" s="1"/>
    </row>
    <row r="32" spans="1:7" ht="27.75" customHeight="1" x14ac:dyDescent="0.25">
      <c r="A32" s="1"/>
      <c r="B32" s="101" t="s">
        <v>192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yjAqPPkaSVQWmz20PO8ao6bUl73IbMA8U8goYiMWU9EVHaMTi+J8jxze3avg677OFQO1f1Y13ImSuiA3jSU6g==" saltValue="Xfj7OiindhEyz+5/d0Ota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15140006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302800.12</v>
      </c>
      <c r="H6" s="14" t="s">
        <v>3</v>
      </c>
      <c r="I6" s="1"/>
    </row>
    <row r="7" spans="1:9" x14ac:dyDescent="0.25">
      <c r="A7" s="1"/>
      <c r="B7" s="53"/>
      <c r="C7" s="54"/>
      <c r="D7" s="54"/>
      <c r="E7" s="54"/>
      <c r="F7" s="54"/>
      <c r="G7" s="5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15025638.394676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70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300512.76789352001</v>
      </c>
      <c r="H12" s="14" t="s">
        <v>3</v>
      </c>
      <c r="I12" s="1"/>
    </row>
    <row r="13" spans="1:9" x14ac:dyDescent="0.25">
      <c r="A13" s="1"/>
      <c r="B13" s="53"/>
      <c r="C13" s="54"/>
      <c r="D13" s="54"/>
      <c r="E13" s="54"/>
      <c r="F13" s="54"/>
      <c r="G13" s="5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14973980.249875104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0.47886643501026877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70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299479.6145748308</v>
      </c>
      <c r="H19" s="14" t="s">
        <v>3</v>
      </c>
      <c r="I19" s="1"/>
    </row>
    <row r="20" spans="1:9" x14ac:dyDescent="0.25">
      <c r="A20" s="1"/>
      <c r="B20" s="53"/>
      <c r="C20" s="54"/>
      <c r="D20" s="54"/>
      <c r="E20" s="54"/>
      <c r="F20" s="54"/>
      <c r="G20" s="5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14922500.182996124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17362.381526820001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298797.25129045889</v>
      </c>
      <c r="H25" s="14" t="s">
        <v>3</v>
      </c>
      <c r="I25" s="1"/>
    </row>
    <row r="26" spans="1:9" x14ac:dyDescent="0.25">
      <c r="A26" s="1"/>
      <c r="B26" s="53"/>
      <c r="C26" s="54"/>
      <c r="D26" s="54"/>
      <c r="E26" s="54"/>
      <c r="F26" s="54"/>
      <c r="G26" s="5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14819686.310053922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183415.75788563999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300062.04135879123</v>
      </c>
      <c r="H31" s="14" t="s">
        <v>3</v>
      </c>
      <c r="I31" s="1"/>
    </row>
    <row r="32" spans="1:9" x14ac:dyDescent="0.25">
      <c r="A32" s="1"/>
      <c r="B32" s="53"/>
      <c r="C32" s="54"/>
      <c r="D32" s="54"/>
      <c r="E32" s="54"/>
      <c r="F32" s="54"/>
      <c r="G32" s="5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14882417.114905057</v>
      </c>
      <c r="H35" s="14" t="s">
        <v>3</v>
      </c>
      <c r="I35" s="1"/>
    </row>
    <row r="36" spans="1:9" x14ac:dyDescent="0.25">
      <c r="A36" s="1"/>
      <c r="B36" s="37" t="s">
        <v>193</v>
      </c>
      <c r="C36" s="60"/>
      <c r="D36" s="60"/>
      <c r="E36" s="60"/>
      <c r="F36" s="61"/>
      <c r="G36" s="24">
        <f>SUM('Fane 2.1. Økonomisk ramme 2022'!C10)*(1+'Fane 12. Nøgletal'!C14)</f>
        <v>178840.17958987123</v>
      </c>
      <c r="H36" s="14" t="s">
        <v>3</v>
      </c>
      <c r="I36" s="1"/>
    </row>
    <row r="37" spans="1:9" x14ac:dyDescent="0.25">
      <c r="A37" s="1"/>
      <c r="B37" s="115" t="s">
        <v>222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99290.084967820017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299634.14399745758</v>
      </c>
      <c r="H38" s="14" t="s">
        <v>3</v>
      </c>
      <c r="I38" s="1"/>
    </row>
    <row r="39" spans="1:9" x14ac:dyDescent="0.25">
      <c r="A39" s="1"/>
      <c r="B39" s="53"/>
      <c r="C39" s="54"/>
      <c r="D39" s="54"/>
      <c r="E39" s="54"/>
      <c r="F39" s="54"/>
      <c r="G39" s="54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14730523.896959811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70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294610.47793919622</v>
      </c>
      <c r="H44" s="14" t="s">
        <v>3</v>
      </c>
      <c r="I44" s="1"/>
    </row>
    <row r="45" spans="1:9" x14ac:dyDescent="0.25">
      <c r="A45" s="1"/>
      <c r="B45" s="53"/>
      <c r="C45" s="54"/>
      <c r="D45" s="54"/>
      <c r="E45" s="54"/>
      <c r="F45" s="54"/>
      <c r="G45" s="54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14483551.933303384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70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289671.0386660677</v>
      </c>
      <c r="H50" s="14" t="s">
        <v>3</v>
      </c>
      <c r="I50" s="1"/>
    </row>
    <row r="51" spans="1:9" x14ac:dyDescent="0.25">
      <c r="A51" s="1"/>
      <c r="B51" s="53"/>
      <c r="C51" s="54"/>
      <c r="D51" s="54"/>
      <c r="E51" s="54"/>
      <c r="F51" s="54"/>
      <c r="G51" s="54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199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200</v>
      </c>
      <c r="C54" s="116"/>
      <c r="D54" s="116"/>
      <c r="E54" s="116"/>
      <c r="F54" s="117"/>
      <c r="G54" s="24">
        <f>(G48+G49-G50)*(1+'Fane 12. Nøgletal'!C14)</f>
        <v>14240720.701589622</v>
      </c>
      <c r="H54" s="14" t="s">
        <v>3</v>
      </c>
      <c r="I54" s="1"/>
    </row>
    <row r="55" spans="1:9" x14ac:dyDescent="0.25">
      <c r="A55" s="1"/>
      <c r="B55" s="115" t="s">
        <v>201</v>
      </c>
      <c r="C55" s="116"/>
      <c r="D55" s="116"/>
      <c r="E55" s="116"/>
      <c r="F55" s="117"/>
      <c r="G55" s="70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202</v>
      </c>
      <c r="C56" s="116"/>
      <c r="D56" s="116"/>
      <c r="E56" s="116"/>
      <c r="F56" s="117"/>
      <c r="G56" s="24">
        <f>(G54+G55)*'Fane 12. Nøgletal'!C29</f>
        <v>284814.41403179243</v>
      </c>
      <c r="H56" s="14" t="s">
        <v>3</v>
      </c>
      <c r="I56" s="1"/>
    </row>
    <row r="57" spans="1:9" x14ac:dyDescent="0.25">
      <c r="A57" s="1"/>
      <c r="B57" s="53"/>
      <c r="C57" s="54"/>
      <c r="D57" s="54"/>
      <c r="E57" s="54"/>
      <c r="F57" s="54"/>
      <c r="G57" s="54"/>
      <c r="H57" s="20"/>
      <c r="I57" s="1"/>
    </row>
  </sheetData>
  <sheetProtection algorithmName="SHA-512" hashValue="xfv0X+EPxzIaGLCDCrFpanJfC+GC38RibA2M1rPybx2woQnvdO/0aHBhTODNLGPEWFbCe4U3d9uM5Cnu3Q8F7Q==" saltValue="0t3Eop5xkbOEJs+XJh64X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23818895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216751.94450000001</v>
      </c>
      <c r="H6" s="14" t="s">
        <v>3</v>
      </c>
      <c r="I6" s="1"/>
    </row>
    <row r="7" spans="1:9" x14ac:dyDescent="0.25">
      <c r="A7" s="1"/>
      <c r="B7" s="53"/>
      <c r="C7" s="54"/>
      <c r="D7" s="54"/>
      <c r="E7" s="54"/>
      <c r="F7" s="54"/>
      <c r="G7" s="5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23901890.272304848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70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217507.20147797413</v>
      </c>
      <c r="H12" s="14" t="s">
        <v>3</v>
      </c>
      <c r="I12" s="1"/>
    </row>
    <row r="13" spans="1:9" x14ac:dyDescent="0.25">
      <c r="A13" s="1"/>
      <c r="B13" s="53"/>
      <c r="C13" s="54"/>
      <c r="D13" s="54"/>
      <c r="E13" s="54"/>
      <c r="F13" s="54"/>
      <c r="G13" s="5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24084649.144723844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-41690.779563839518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68960.169655362493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209773.69125289368</v>
      </c>
      <c r="H19" s="14" t="s">
        <v>3</v>
      </c>
      <c r="I19" s="1"/>
    </row>
    <row r="20" spans="1:9" x14ac:dyDescent="0.25">
      <c r="A20" s="1"/>
      <c r="B20" s="53"/>
      <c r="C20" s="54"/>
      <c r="D20" s="54"/>
      <c r="E20" s="54"/>
      <c r="F20" s="54"/>
      <c r="G20" s="5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24306091.091418676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26178.744741930001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212206.4688460133</v>
      </c>
      <c r="H25" s="14" t="s">
        <v>3</v>
      </c>
      <c r="I25" s="1"/>
    </row>
    <row r="26" spans="1:9" x14ac:dyDescent="0.25">
      <c r="A26" s="1"/>
      <c r="B26" s="53"/>
      <c r="C26" s="54"/>
      <c r="D26" s="54"/>
      <c r="E26" s="54"/>
      <c r="F26" s="54"/>
      <c r="G26" s="5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24414328.140395835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5755.9153831200001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671552.31153392128</v>
      </c>
      <c r="H31" s="14" t="s">
        <v>3</v>
      </c>
      <c r="I31" s="1"/>
    </row>
    <row r="32" spans="1:9" x14ac:dyDescent="0.25">
      <c r="A32" s="1"/>
      <c r="B32" s="53"/>
      <c r="C32" s="54"/>
      <c r="D32" s="54"/>
      <c r="E32" s="54"/>
      <c r="F32" s="54"/>
      <c r="G32" s="5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24038263.831524823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5569.0137070043302</v>
      </c>
      <c r="H36" s="14" t="s">
        <v>3</v>
      </c>
      <c r="I36" s="38"/>
    </row>
    <row r="37" spans="1:9" x14ac:dyDescent="0.25">
      <c r="A37" s="1"/>
      <c r="B37" s="115" t="s">
        <v>194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20892.209021950002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661361.46006045747</v>
      </c>
      <c r="H38" s="14" t="s">
        <v>3</v>
      </c>
      <c r="I38" s="1"/>
    </row>
    <row r="39" spans="1:9" x14ac:dyDescent="0.25">
      <c r="A39" s="1"/>
      <c r="B39" s="53"/>
      <c r="C39" s="54"/>
      <c r="D39" s="54"/>
      <c r="E39" s="54"/>
      <c r="F39" s="54"/>
      <c r="G39" s="54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23475007.302601919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70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347430.10807850841</v>
      </c>
      <c r="H44" s="14" t="s">
        <v>3</v>
      </c>
      <c r="I44" s="1"/>
    </row>
    <row r="45" spans="1:9" x14ac:dyDescent="0.25">
      <c r="A45" s="1"/>
      <c r="B45" s="53"/>
      <c r="C45" s="54"/>
      <c r="D45" s="54"/>
      <c r="E45" s="54"/>
      <c r="F45" s="54"/>
      <c r="G45" s="54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23203898.199265338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70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343417.69334912702</v>
      </c>
      <c r="H50" s="14" t="s">
        <v>3</v>
      </c>
      <c r="I50" s="1"/>
    </row>
    <row r="51" spans="1:9" x14ac:dyDescent="0.25">
      <c r="A51" s="1"/>
      <c r="B51" s="53"/>
      <c r="C51" s="54"/>
      <c r="D51" s="54"/>
      <c r="E51" s="54"/>
      <c r="F51" s="54"/>
      <c r="G51" s="54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195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196</v>
      </c>
      <c r="C54" s="116"/>
      <c r="D54" s="116"/>
      <c r="E54" s="116"/>
      <c r="F54" s="117"/>
      <c r="G54" s="24">
        <f>(G48+G49-G50)*(1+'Fane 12. Nøgletal'!C14)</f>
        <v>22935920.091585737</v>
      </c>
      <c r="H54" s="14" t="s">
        <v>3</v>
      </c>
      <c r="I54" s="1"/>
    </row>
    <row r="55" spans="1:9" x14ac:dyDescent="0.25">
      <c r="A55" s="1"/>
      <c r="B55" s="115" t="s">
        <v>197</v>
      </c>
      <c r="C55" s="116"/>
      <c r="D55" s="116"/>
      <c r="E55" s="116"/>
      <c r="F55" s="117"/>
      <c r="G55" s="70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198</v>
      </c>
      <c r="C56" s="116"/>
      <c r="D56" s="116"/>
      <c r="E56" s="116"/>
      <c r="F56" s="117"/>
      <c r="G56" s="24">
        <f>(G54+G55)*'Fane 12. Nøgletal'!C24</f>
        <v>339451.61735546892</v>
      </c>
      <c r="H56" s="14" t="s">
        <v>3</v>
      </c>
      <c r="I56" s="1"/>
    </row>
    <row r="57" spans="1:9" x14ac:dyDescent="0.25">
      <c r="A57" s="1"/>
      <c r="B57" s="53"/>
      <c r="C57" s="54"/>
      <c r="D57" s="54"/>
      <c r="E57" s="54"/>
      <c r="F57" s="54"/>
      <c r="G57" s="54"/>
      <c r="H57" s="20"/>
      <c r="I57" s="1"/>
    </row>
  </sheetData>
  <sheetProtection algorithmName="SHA-512" hashValue="466cD4RqUm0CGqoW1F2n3BFarY+2XMJM8j3R7ClN26N6RD5D7SeH7cMbSA0//2OooFKOi1U2KNlanrlzWKq/gg==" saltValue="eC9/PQ/EOsrVArsfGFurLQ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6.5803679330390602E-3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8.1535773383196643E-3</v>
      </c>
      <c r="H10" s="14"/>
      <c r="I10" s="1"/>
    </row>
    <row r="11" spans="1:9" x14ac:dyDescent="0.25">
      <c r="A11" s="1"/>
      <c r="B11" s="53"/>
      <c r="C11" s="54"/>
      <c r="D11" s="54"/>
      <c r="E11" s="54"/>
      <c r="F11" s="54"/>
      <c r="G11" s="54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8DFNr48/LLnIZ+UZjU92WzN4xuzpb/eLGFpdxMhcMryd71zY1Mpi4yV4vBLy6d3JHaBtSiARpMUWuDYorH+UBA==" saltValue="594lL/NkhiCCKQLQeNr4K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2021-10-04T11:12:53Z</dcterms:modified>
</cp:coreProperties>
</file>