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Denne_projektmappe" defaultThemeVersion="124226"/>
  <mc:AlternateContent xmlns:mc="http://schemas.openxmlformats.org/markup-compatibility/2006">
    <mc:Choice Requires="x15">
      <x15ac:absPath xmlns:x15ac="http://schemas.microsoft.com/office/spreadsheetml/2010/11/ac" url="E:\VAND\Sagsbehandling\Drikkevand\Energi Viborg Vand AS (V043)\ØR2025\"/>
    </mc:Choice>
  </mc:AlternateContent>
  <xr:revisionPtr revIDLastSave="0" documentId="13_ncr:1_{2E9CAA6E-DB34-4FBF-ACD4-C4EE2443A581}"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ØR2024'!$C$36</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ØR2024'!$B$8:$D$36</definedName>
    <definedName name="ØR24total">'Fane 3. Omkostninger i ØR2024'!$C$36</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<sst xmlns="http://schemas.openxmlformats.org/spreadsheetml/2006/main" count="451" uniqueCount="206">
  <si>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</si>
  <si>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</si>
  <si>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</si>
  <si>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</si>
  <si>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</si>
  <si>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</si>
  <si>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</si>
  <si>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</si>
  <si>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</si>
  <si>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</si>
  <si>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</si>
  <si>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</si>
  <si>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</si>
  <si>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</si>
  <si>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</si>
  <si>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</si>
  <si>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</si>
  <si>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</si>
  <si>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</si>
  <si>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</si>
  <si>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</si>
  <si>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</si>
  <si>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</si>
  <si>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</si>
  <si>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</si>
  <si>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</si>
  <si>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</si>
  <si>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</si>
  <si>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</si>
  <si>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</si>
  <si>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</si>
  <si>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</si>
  <si>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</si>
  <si>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</si>
  <si>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</si>
  <si>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</si>
  <si>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</si>
  <si>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</si>
  <si>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</si>
  <si>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</si>
  <si>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</si>
  <si>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</si>
  <si>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</si>
  <si>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</si>
  <si>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</si>
  <si>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</si>
  <si>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</si>
  <si>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</si>
  <si>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</si>
  <si>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</si>
  <si>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</si>
  <si>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</si>
  <si>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</si>
  <si>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</si>
  <si>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</si>
  <si>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</si>
  <si>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</si>
  <si>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</si>
  <si>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</si>
  <si>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</si>
  <si>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</si>
  <si>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</si>
  <si>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</si>
  <si>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</si>
  <si>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</si>
  <si>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</si>
  <si>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</si>
  <si>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</si>
  <si>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</si>
  <si>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</si>
  <si>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</si>
  <si>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</si>
  <si>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</si>
  <si>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</si>
  <si>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</si>
  <si>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</si>
  <si>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</si>
  <si>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</si>
  <si>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</si>
  <si>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</si>
  <si>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</si>
  <si>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</si>
  <si>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</si>
  <si>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</si>
  <si>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</si>
  <si>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</si>
  <si>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</si>
  <si>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</si>
  <si>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</si>
  <si>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</si>
  <si>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</si>
  <si>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</si>
  <si>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</si>
  <si>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</si>
  <si>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</si>
  <si>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</si>
  <si>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</si>
  <si>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</si>
  <si>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</si>
  <si>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</si>
  <si>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</si>
  <si>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</si>
  <si>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</si>
  <si>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</si>
  <si>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</si>
  <si>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</si>
  <si>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</si>
  <si>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</si>
  <si>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</si>
  <si>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</si>
  <si>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</si>
  <si>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</si>
  <si>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</si>
  <si>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</si>
  <si>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</si>
  <si>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</si>
  <si>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</si>
  <si>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</si>
  <si>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</si>
  <si>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</si>
  <si>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</si>
  <si>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</si>
  <si>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</si>
  <si>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</si>
  <si>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</si>
  <si>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</si>
  <si>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</si>
  <si>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</si>
  <si>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</si>
  <si>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</si>
  <si>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</si>
  <si>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</si>
  <si>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</si>
  <si>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</si>
  <si>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</si>
  <si>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</si>
  <si>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</si>
  <si>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</si>
  <si>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</si>
  <si>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</si>
  <si>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</si>
  <si>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</si>
  <si>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</si>
  <si>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</si>
  <si>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</si>
  <si>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</si>
  <si>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</si>
  <si>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</si>
  <si>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</si>
  <si>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</si>
  <si>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</si>
  <si>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</si>
  <si>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</si>
  <si>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</si>
  <si>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</si>
  <si>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</si>
  <si>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</si>
  <si>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</si>
  <si>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</si>
  <si>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</si>
  <si>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</si>
  <si>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</si>
  <si>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</si>
  <si>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</si>
  <si>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</si>
  <si>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</si>
  <si>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</si>
  <si>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</si>
  <si>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</si>
  <si>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</si>
  <si>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</si>
  <si>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</si>
  <si>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</si>
  <si>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</si>
  <si>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</si>
  <si>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</si>
  <si>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</si>
  <si>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</si>
  <si>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</si>
  <si>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</si>
  <si>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</si>
  <si>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</si>
  <si>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</si>
  <si>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</si>
  <si>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</si>
  <si>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</si>
  <si>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</si>
  <si>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</si>
  <si>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</si>
  <si>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</si>
  <si>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</si>
  <si>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</si>
  <si>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</si>
  <si>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Justering af den økonomiske ramme</t>
  </si>
  <si>
    <t>Justering af den økonomiske ramme for stigende el-omkostninger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</si>
  <si>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</si>
  <si>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</si>
  <si>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</si>
  <si>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</si>
  <si>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</si>
  <si>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</si>
  <si>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</si>
  <si>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Erstatninger</t>
  </si>
  <si>
    <t>Frivillige aftaler om dyrkningspraksis eller andre restriktioner i arealanvendelse (Løgstørvej 20). 1.350.000 kr./3 = 450.000 kr. i ØR25 til ØR27</t>
  </si>
  <si>
    <t>Ingen engangstillæg</t>
  </si>
  <si>
    <t>Udvidelse af forsyningsområde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</si>
</sst>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19">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7" t="s">
        <v>4</v>
      </c>
      <c r="D6" s="87"/>
      <c r="E6" s="87"/>
      <c r="F6" s="87"/>
      <c r="G6" s="1"/>
    </row>
    <row r="7" spans="1:7" ht="15" customHeight="1" x14ac:dyDescent="0.25">
      <c r="A7" s="1"/>
      <c r="B7" s="3"/>
      <c r="C7" s="87"/>
      <c r="D7" s="87"/>
      <c r="E7" s="87"/>
      <c r="F7" s="87"/>
      <c r="G7" s="1"/>
    </row>
    <row r="8" spans="1:7" ht="15.75" x14ac:dyDescent="0.25">
      <c r="A8" s="1"/>
      <c r="B8" s="4"/>
      <c r="C8" s="89" t="s">
        <v>198</v>
      </c>
      <c r="D8" s="89"/>
      <c r="E8" s="89"/>
      <c r="F8" s="89"/>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8" t="s">
        <v>5</v>
      </c>
      <c r="D11" s="88"/>
      <c r="E11" s="88"/>
      <c r="F11" s="88"/>
      <c r="G11" s="1"/>
    </row>
    <row r="12" spans="1:7" x14ac:dyDescent="0.25">
      <c r="A12" s="1"/>
      <c r="B12" s="1"/>
      <c r="C12" s="1"/>
      <c r="D12" s="1"/>
      <c r="E12" s="1"/>
      <c r="F12" s="1"/>
      <c r="G12" s="1"/>
    </row>
    <row r="13" spans="1:7" x14ac:dyDescent="0.25">
      <c r="A13" s="1"/>
      <c r="B13" s="6" t="s">
        <v>6</v>
      </c>
      <c r="C13" s="84" t="s">
        <v>124</v>
      </c>
      <c r="D13" s="85"/>
      <c r="E13" s="85"/>
      <c r="F13" s="86"/>
      <c r="G13" s="1"/>
    </row>
    <row r="14" spans="1:7" x14ac:dyDescent="0.25">
      <c r="A14" s="1"/>
      <c r="B14" s="6" t="s">
        <v>14</v>
      </c>
      <c r="C14" s="84" t="s">
        <v>159</v>
      </c>
      <c r="D14" s="85"/>
      <c r="E14" s="85"/>
      <c r="F14" s="86"/>
      <c r="G14" s="1"/>
    </row>
    <row r="15" spans="1:7" x14ac:dyDescent="0.25">
      <c r="A15" s="1"/>
      <c r="B15" s="6" t="s">
        <v>29</v>
      </c>
      <c r="C15" s="84" t="s">
        <v>107</v>
      </c>
      <c r="D15" s="85"/>
      <c r="E15" s="85"/>
      <c r="F15" s="86"/>
      <c r="G15" s="1"/>
    </row>
    <row r="16" spans="1:7" x14ac:dyDescent="0.25">
      <c r="A16" s="1"/>
      <c r="B16" s="6" t="s">
        <v>30</v>
      </c>
      <c r="C16" s="84" t="s">
        <v>125</v>
      </c>
      <c r="D16" s="85"/>
      <c r="E16" s="85"/>
      <c r="F16" s="86"/>
      <c r="G16" s="1"/>
    </row>
    <row r="17" spans="1:7" x14ac:dyDescent="0.25">
      <c r="A17" s="1"/>
      <c r="B17" s="6" t="s">
        <v>57</v>
      </c>
      <c r="C17" s="84" t="s">
        <v>126</v>
      </c>
      <c r="D17" s="85"/>
      <c r="E17" s="85"/>
      <c r="F17" s="86"/>
      <c r="G17" s="1"/>
    </row>
    <row r="18" spans="1:7" x14ac:dyDescent="0.25">
      <c r="A18" s="1"/>
      <c r="B18" s="6" t="s">
        <v>49</v>
      </c>
      <c r="C18" s="90" t="s">
        <v>42</v>
      </c>
      <c r="D18" s="91"/>
      <c r="E18" s="91"/>
      <c r="F18" s="92"/>
      <c r="G18" s="1"/>
    </row>
    <row r="19" spans="1:7" x14ac:dyDescent="0.25">
      <c r="A19" s="1"/>
      <c r="B19" s="6" t="s">
        <v>50</v>
      </c>
      <c r="C19" s="90" t="s">
        <v>43</v>
      </c>
      <c r="D19" s="91"/>
      <c r="E19" s="91"/>
      <c r="F19" s="92"/>
      <c r="G19" s="1"/>
    </row>
    <row r="20" spans="1:7" x14ac:dyDescent="0.25">
      <c r="A20" s="1"/>
      <c r="B20" s="6" t="s">
        <v>7</v>
      </c>
      <c r="C20" s="90" t="s">
        <v>9</v>
      </c>
      <c r="D20" s="91"/>
      <c r="E20" s="91"/>
      <c r="F20" s="92"/>
      <c r="G20" s="1"/>
    </row>
    <row r="21" spans="1:7" x14ac:dyDescent="0.25">
      <c r="A21" s="1"/>
      <c r="B21" s="6" t="s">
        <v>51</v>
      </c>
      <c r="C21" s="81" t="s">
        <v>11</v>
      </c>
      <c r="D21" s="82"/>
      <c r="E21" s="82"/>
      <c r="F21" s="83"/>
      <c r="G21" s="1"/>
    </row>
    <row r="22" spans="1:7" x14ac:dyDescent="0.25">
      <c r="A22" s="1"/>
      <c r="B22" s="6" t="s">
        <v>37</v>
      </c>
      <c r="C22" s="75" t="s">
        <v>127</v>
      </c>
      <c r="D22" s="76"/>
      <c r="E22" s="76"/>
      <c r="F22" s="77"/>
      <c r="G22" s="1"/>
    </row>
    <row r="23" spans="1:7" x14ac:dyDescent="0.25">
      <c r="A23" s="1"/>
      <c r="B23" s="6" t="s">
        <v>8</v>
      </c>
      <c r="C23" s="75" t="s">
        <v>89</v>
      </c>
      <c r="D23" s="76"/>
      <c r="E23" s="76"/>
      <c r="F23" s="77"/>
      <c r="G23" s="1"/>
    </row>
    <row r="24" spans="1:7" x14ac:dyDescent="0.25">
      <c r="A24" s="1"/>
      <c r="B24" s="6" t="s">
        <v>85</v>
      </c>
      <c r="C24" s="75" t="s">
        <v>78</v>
      </c>
      <c r="D24" s="76"/>
      <c r="E24" s="76"/>
      <c r="F24" s="77"/>
      <c r="G24" s="1"/>
    </row>
    <row r="25" spans="1:7" x14ac:dyDescent="0.25">
      <c r="A25" s="1"/>
      <c r="B25" s="6" t="s">
        <v>86</v>
      </c>
      <c r="C25" s="75" t="s">
        <v>38</v>
      </c>
      <c r="D25" s="76"/>
      <c r="E25" s="76"/>
      <c r="F25" s="77"/>
      <c r="G25" s="1"/>
    </row>
    <row r="26" spans="1:7" x14ac:dyDescent="0.25">
      <c r="A26" s="1"/>
      <c r="B26" s="6" t="s">
        <v>87</v>
      </c>
      <c r="C26" s="75" t="s">
        <v>39</v>
      </c>
      <c r="D26" s="76"/>
      <c r="E26" s="76"/>
      <c r="F26" s="77"/>
      <c r="G26" s="1"/>
    </row>
    <row r="27" spans="1:7" x14ac:dyDescent="0.25">
      <c r="A27" s="1"/>
      <c r="B27" s="6" t="s">
        <v>52</v>
      </c>
      <c r="C27" s="75" t="s">
        <v>58</v>
      </c>
      <c r="D27" s="76"/>
      <c r="E27" s="76"/>
      <c r="F27" s="77"/>
      <c r="G27" s="1"/>
    </row>
    <row r="28" spans="1:7" x14ac:dyDescent="0.25">
      <c r="A28" s="1"/>
      <c r="B28" s="6" t="s">
        <v>46</v>
      </c>
      <c r="C28" s="75" t="s">
        <v>31</v>
      </c>
      <c r="D28" s="76"/>
      <c r="E28" s="76"/>
      <c r="F28" s="77"/>
      <c r="G28" s="1"/>
    </row>
    <row r="29" spans="1:7" x14ac:dyDescent="0.25">
      <c r="A29" s="1"/>
      <c r="B29" s="6" t="s">
        <v>88</v>
      </c>
      <c r="C29" s="78" t="s">
        <v>47</v>
      </c>
      <c r="D29" s="79"/>
      <c r="E29" s="79"/>
      <c r="F29" s="80"/>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Luu0bQpOwO40U3oW5r4kBCYLQJvl4em+7vuBlrC/arsxnvWUk3e3c9GAQKAJP9TZMUZcgjH5DxIuH2uTQ6RO0g==" saltValue="mo3WqGXrhuco02qFzH1oxw==" spinCount="100000" sheet="1" objects="1" scenarios="1"/>
  <mergeCells count="20">
    <mergeCell ref="C14:F14"/>
    <mergeCell ref="C6:F7"/>
    <mergeCell ref="C22:F22"/>
    <mergeCell ref="C11:F11"/>
    <mergeCell ref="C8:F8"/>
    <mergeCell ref="C15:F15"/>
    <mergeCell ref="C16:F16"/>
    <mergeCell ref="C13:F13"/>
    <mergeCell ref="C17:F17"/>
    <mergeCell ref="C18:F18"/>
    <mergeCell ref="C19:F19"/>
    <mergeCell ref="C20:F20"/>
    <mergeCell ref="C28:F28"/>
    <mergeCell ref="C29:F29"/>
    <mergeCell ref="C21:F21"/>
    <mergeCell ref="C24:F24"/>
    <mergeCell ref="C25:F25"/>
    <mergeCell ref="C27:F27"/>
    <mergeCell ref="C26:F26"/>
    <mergeCell ref="C23:F23"/>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55</v>
      </c>
      <c r="C3" s="93"/>
      <c r="D3" s="93"/>
      <c r="E3" s="1"/>
    </row>
    <row r="4" spans="1:5" ht="15" customHeight="1" x14ac:dyDescent="0.25">
      <c r="A4" s="1"/>
      <c r="B4" s="93"/>
      <c r="C4" s="93"/>
      <c r="D4" s="9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7" t="s">
        <v>142</v>
      </c>
      <c r="C8" s="98"/>
      <c r="D8" s="99"/>
      <c r="E8" s="1"/>
    </row>
    <row r="9" spans="1:5" ht="15" customHeight="1" x14ac:dyDescent="0.25">
      <c r="A9" s="1"/>
      <c r="B9" s="51" t="s">
        <v>27</v>
      </c>
      <c r="C9" s="45" t="s">
        <v>145</v>
      </c>
      <c r="D9" s="11"/>
      <c r="E9" s="1"/>
    </row>
    <row r="10" spans="1:5" ht="15" customHeight="1" x14ac:dyDescent="0.25">
      <c r="A10" s="1"/>
      <c r="B10" s="64" t="s">
        <v>199</v>
      </c>
      <c r="C10" s="65">
        <v>14220482</v>
      </c>
      <c r="D10" s="14" t="s">
        <v>3</v>
      </c>
      <c r="E10" s="1"/>
    </row>
    <row r="11" spans="1:5" x14ac:dyDescent="0.25">
      <c r="A11" s="1"/>
      <c r="B11" s="64" t="s">
        <v>200</v>
      </c>
      <c r="C11" s="65">
        <v>70774</v>
      </c>
      <c r="D11" s="14" t="s">
        <v>3</v>
      </c>
      <c r="E11" s="1"/>
    </row>
    <row r="12" spans="1:5" x14ac:dyDescent="0.25">
      <c r="A12" s="1"/>
      <c r="B12" s="64" t="s">
        <v>201</v>
      </c>
      <c r="C12" s="65">
        <v>135982</v>
      </c>
      <c r="D12" s="14" t="s">
        <v>3</v>
      </c>
      <c r="E12" s="1"/>
    </row>
    <row r="13" spans="1:5" x14ac:dyDescent="0.25">
      <c r="A13" s="1"/>
      <c r="B13" s="64" t="s">
        <v>202</v>
      </c>
      <c r="C13" s="65">
        <v>395000</v>
      </c>
      <c r="D13" s="14" t="s">
        <v>3</v>
      </c>
      <c r="E13" s="1"/>
    </row>
    <row r="14" spans="1:5" ht="38.25" x14ac:dyDescent="0.25">
      <c r="A14" s="1"/>
      <c r="B14" s="64" t="s">
        <v>203</v>
      </c>
      <c r="C14" s="65">
        <v>450000</v>
      </c>
      <c r="D14" s="14" t="s">
        <v>3</v>
      </c>
      <c r="E14" s="1"/>
    </row>
    <row r="15" spans="1:5" x14ac:dyDescent="0.25">
      <c r="A15" s="1"/>
      <c r="B15" s="64"/>
      <c r="C15" s="65"/>
      <c r="D15" s="14" t="s">
        <v>3</v>
      </c>
      <c r="E15" s="1"/>
    </row>
    <row r="16" spans="1:5" x14ac:dyDescent="0.25">
      <c r="A16" s="1"/>
      <c r="B16" s="64"/>
      <c r="C16" s="65"/>
      <c r="D16" s="14" t="s">
        <v>3</v>
      </c>
      <c r="E16" s="1"/>
    </row>
    <row r="17" spans="1:5" x14ac:dyDescent="0.25">
      <c r="A17" s="1"/>
      <c r="B17" s="64"/>
      <c r="C17" s="65"/>
      <c r="D17" s="14" t="s">
        <v>3</v>
      </c>
      <c r="E17" s="1"/>
    </row>
    <row r="18" spans="1:5" x14ac:dyDescent="0.25">
      <c r="A18" s="1"/>
      <c r="B18" s="64"/>
      <c r="C18" s="65"/>
      <c r="D18" s="14" t="s">
        <v>3</v>
      </c>
      <c r="E18" s="1"/>
    </row>
    <row r="19" spans="1:5" x14ac:dyDescent="0.25">
      <c r="A19" s="1"/>
      <c r="B19" s="52" t="s">
        <v>143</v>
      </c>
      <c r="C19" s="12">
        <f>SUM(C10:C18)</f>
        <v>15272238</v>
      </c>
      <c r="D19" s="13" t="s">
        <v>3</v>
      </c>
      <c r="E19" s="1"/>
    </row>
    <row r="20" spans="1:5" x14ac:dyDescent="0.25">
      <c r="A20" s="1"/>
      <c r="B20" s="52" t="s">
        <v>144</v>
      </c>
      <c r="C20" s="12">
        <f>C19*(1+'Fane 13. Nøgletal'!C11)^2</f>
        <v>17364468.782654218</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b++9Q73s7euwaIq44Mp0wT7r9U2M1KQiqQ/YO476Jv0ALYl4L8WjRi3kpYXBsNHB83MUmOJQ9aaK77J65Pm+8w==" saltValue="tNqgNNy24Iu6AZpvOIEYOQ=="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5" t="s">
        <v>172</v>
      </c>
      <c r="C3" s="95"/>
      <c r="D3" s="95"/>
      <c r="E3" s="1"/>
    </row>
    <row r="4" spans="1:5" ht="15" customHeight="1" x14ac:dyDescent="0.25">
      <c r="A4" s="1"/>
      <c r="B4" s="95"/>
      <c r="C4" s="95"/>
      <c r="D4" s="95"/>
      <c r="E4" s="1"/>
    </row>
    <row r="5" spans="1:5" ht="15" customHeight="1" x14ac:dyDescent="0.25">
      <c r="A5" s="1"/>
      <c r="B5" s="95"/>
      <c r="C5" s="95"/>
      <c r="D5" s="95"/>
      <c r="E5" s="1"/>
    </row>
    <row r="6" spans="1:5" ht="15" customHeight="1" x14ac:dyDescent="0.25">
      <c r="A6" s="1"/>
      <c r="B6" s="67"/>
      <c r="C6" s="67"/>
      <c r="D6" s="67"/>
      <c r="E6" s="1"/>
    </row>
    <row r="7" spans="1:5" x14ac:dyDescent="0.25">
      <c r="A7" s="1"/>
      <c r="B7" s="1"/>
      <c r="C7" s="1"/>
      <c r="D7" s="1"/>
      <c r="E7" s="1"/>
    </row>
    <row r="8" spans="1:5" x14ac:dyDescent="0.25">
      <c r="A8" s="1"/>
      <c r="B8" s="97" t="s">
        <v>175</v>
      </c>
      <c r="C8" s="98"/>
      <c r="D8" s="99"/>
      <c r="E8" s="1"/>
    </row>
    <row r="9" spans="1:5" x14ac:dyDescent="0.25">
      <c r="A9" s="1"/>
      <c r="B9" s="56" t="s">
        <v>176</v>
      </c>
      <c r="C9" s="9">
        <v>40437.555050089955</v>
      </c>
      <c r="D9" s="39" t="s">
        <v>3</v>
      </c>
      <c r="E9" s="1"/>
    </row>
    <row r="10" spans="1:5" x14ac:dyDescent="0.25">
      <c r="A10" s="1"/>
      <c r="B10" s="56" t="s">
        <v>174</v>
      </c>
      <c r="C10" s="9">
        <v>500950.6507248804</v>
      </c>
      <c r="D10" s="14" t="s">
        <v>3</v>
      </c>
      <c r="E10" s="1"/>
    </row>
    <row r="11" spans="1:5" x14ac:dyDescent="0.25">
      <c r="A11" s="1"/>
      <c r="B11" s="52"/>
      <c r="C11" s="53"/>
      <c r="D11" s="19"/>
      <c r="E11" s="1"/>
    </row>
    <row r="12" spans="1:5" ht="53.85" customHeight="1" x14ac:dyDescent="0.25">
      <c r="A12" s="1"/>
      <c r="B12" s="106" t="s">
        <v>173</v>
      </c>
      <c r="C12" s="107"/>
      <c r="D12" s="108"/>
      <c r="E12" s="1"/>
    </row>
    <row r="13" spans="1:5" x14ac:dyDescent="0.25">
      <c r="A13" s="1"/>
      <c r="B13" s="1"/>
      <c r="C13" s="1"/>
      <c r="D13" s="1"/>
      <c r="E13" s="1"/>
    </row>
    <row r="14" spans="1:5" x14ac:dyDescent="0.25">
      <c r="A14" s="1"/>
      <c r="B14" s="68" t="s">
        <v>177</v>
      </c>
      <c r="C14" s="69"/>
      <c r="D14" s="70"/>
      <c r="E14" s="1"/>
    </row>
    <row r="15" spans="1:5" x14ac:dyDescent="0.25">
      <c r="A15" s="1"/>
      <c r="B15" s="56" t="s">
        <v>178</v>
      </c>
      <c r="C15" s="9">
        <f>IF(C10&lt;0,C10,0)</f>
        <v>0</v>
      </c>
      <c r="D15" s="14" t="s">
        <v>3</v>
      </c>
      <c r="E15" s="1"/>
    </row>
    <row r="16" spans="1:5" x14ac:dyDescent="0.25">
      <c r="A16" s="1"/>
      <c r="B16" s="56" t="s">
        <v>185</v>
      </c>
      <c r="C16" s="9">
        <f>IF(SUM(C9)&gt;0,SUM(C9),0)</f>
        <v>40437.555050089955</v>
      </c>
      <c r="D16" s="14" t="s">
        <v>3</v>
      </c>
      <c r="E16" s="1"/>
    </row>
    <row r="17" spans="1:5" ht="26.25" x14ac:dyDescent="0.25">
      <c r="A17" s="1"/>
      <c r="B17" s="71" t="s">
        <v>179</v>
      </c>
      <c r="C17" s="62">
        <f>IF(SUM(C15:C16)&gt;0,0,SUM(C15:C16))</f>
        <v>0</v>
      </c>
      <c r="D17" s="17" t="s">
        <v>3</v>
      </c>
      <c r="E17" s="1"/>
    </row>
    <row r="18" spans="1:5" x14ac:dyDescent="0.25">
      <c r="A18" s="1"/>
      <c r="B18" s="52"/>
      <c r="C18" s="53"/>
      <c r="D18" s="19"/>
      <c r="E18" s="1"/>
    </row>
    <row r="19" spans="1:5" x14ac:dyDescent="0.25">
      <c r="A19" s="1"/>
      <c r="B19" s="1"/>
      <c r="C19" s="1"/>
      <c r="D19" s="1"/>
      <c r="E19" s="1"/>
    </row>
    <row r="20" spans="1:5" x14ac:dyDescent="0.25">
      <c r="A20" s="1"/>
      <c r="B20" s="68" t="s">
        <v>180</v>
      </c>
      <c r="C20" s="69"/>
      <c r="D20" s="70"/>
      <c r="E20" s="1"/>
    </row>
    <row r="21" spans="1:5" x14ac:dyDescent="0.25">
      <c r="A21" s="1"/>
      <c r="B21" s="56" t="s">
        <v>181</v>
      </c>
      <c r="C21" s="9">
        <v>43146534.247119285</v>
      </c>
      <c r="D21" s="14" t="s">
        <v>3</v>
      </c>
      <c r="E21" s="1"/>
    </row>
    <row r="22" spans="1:5" x14ac:dyDescent="0.25">
      <c r="A22" s="1"/>
      <c r="B22" s="56" t="s">
        <v>182</v>
      </c>
      <c r="C22" s="9">
        <v>42797914</v>
      </c>
      <c r="D22" s="14" t="s">
        <v>3</v>
      </c>
      <c r="E22" s="1"/>
    </row>
    <row r="23" spans="1:5" x14ac:dyDescent="0.25">
      <c r="A23" s="1"/>
      <c r="B23" s="56" t="s">
        <v>28</v>
      </c>
      <c r="C23" s="9">
        <v>0</v>
      </c>
      <c r="D23" s="14" t="s">
        <v>3</v>
      </c>
      <c r="E23" s="1"/>
    </row>
    <row r="24" spans="1:5" x14ac:dyDescent="0.25">
      <c r="A24" s="1"/>
      <c r="B24" s="73" t="s">
        <v>183</v>
      </c>
      <c r="C24" s="46">
        <f>C21-C22-C23</f>
        <v>348620.24711928517</v>
      </c>
      <c r="D24" s="17" t="s">
        <v>3</v>
      </c>
      <c r="E24" s="1"/>
    </row>
    <row r="25" spans="1:5" x14ac:dyDescent="0.25">
      <c r="A25" s="1"/>
      <c r="B25" s="52"/>
      <c r="C25" s="53"/>
      <c r="D25" s="19"/>
      <c r="E25" s="1"/>
    </row>
    <row r="26" spans="1:5" x14ac:dyDescent="0.25">
      <c r="A26" s="1"/>
      <c r="B26" s="1"/>
      <c r="C26" s="1"/>
      <c r="D26" s="1"/>
      <c r="E26" s="1"/>
    </row>
    <row r="27" spans="1:5" x14ac:dyDescent="0.25">
      <c r="A27" s="1"/>
      <c r="B27" s="97" t="s">
        <v>184</v>
      </c>
      <c r="C27" s="98"/>
      <c r="D27" s="99"/>
      <c r="E27" s="1"/>
    </row>
    <row r="28" spans="1:5" x14ac:dyDescent="0.25">
      <c r="A28" s="1"/>
      <c r="B28" s="57" t="s">
        <v>65</v>
      </c>
      <c r="C28" s="9">
        <f>IF(C17&lt;0,IF(C24&lt;0,SUM(C17,C24),IF(C9&gt;0,SUM(C9:C10),C17)),IF(AND(C24&lt;0,SUM(C24,C10)&lt;0),IF(C10&lt;0,C24,IF(SUM(C9:C10)&gt;0,SUM(C24,C10),IF(AND(C24&lt;0,C17=0,C10&gt;0),IF(SUM(C9:C10)&gt;0,C24+C10,C24)))),IF(AND(SUM(C9:C10)&lt;0,C17=0,C24&lt;0),C24,0)))</f>
        <v>0</v>
      </c>
      <c r="D28" s="14" t="s">
        <v>3</v>
      </c>
      <c r="E28" s="1"/>
    </row>
    <row r="29" spans="1:5" x14ac:dyDescent="0.25">
      <c r="A29" s="1"/>
      <c r="B29" s="57" t="s">
        <v>48</v>
      </c>
      <c r="C29" s="9">
        <v>2</v>
      </c>
      <c r="D29" s="14" t="s">
        <v>18</v>
      </c>
      <c r="E29" s="1"/>
    </row>
    <row r="30" spans="1:5" x14ac:dyDescent="0.25">
      <c r="A30" s="1"/>
      <c r="B30" s="58" t="s">
        <v>64</v>
      </c>
      <c r="C30" s="10">
        <f>C28/C29</f>
        <v>0</v>
      </c>
      <c r="D30" s="17" t="s">
        <v>3</v>
      </c>
      <c r="E30" s="1"/>
    </row>
    <row r="31" spans="1:5" x14ac:dyDescent="0.25">
      <c r="A31" s="1"/>
      <c r="B31" s="109"/>
      <c r="C31" s="110"/>
      <c r="D31" s="11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JuN+FHi1XbMrVfpO+JofzwH+Ryk6azXutimvH3Vthh21yUAixgWacwGIZlufZrx/gR6+/hCJ5Deoxu1F4WtoCg==" saltValue="TPhtd4W77HkP3lpNSdW7/g=="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5" t="s">
        <v>96</v>
      </c>
      <c r="C3" s="95"/>
      <c r="D3" s="95"/>
      <c r="E3" s="1"/>
    </row>
    <row r="4" spans="1:5" ht="15" customHeight="1" x14ac:dyDescent="0.25">
      <c r="A4" s="1"/>
      <c r="B4" s="95"/>
      <c r="C4" s="95"/>
      <c r="D4" s="95"/>
      <c r="E4" s="1"/>
    </row>
    <row r="5" spans="1:5" x14ac:dyDescent="0.25">
      <c r="A5" s="1"/>
      <c r="B5" s="95"/>
      <c r="C5" s="95"/>
      <c r="D5" s="95"/>
      <c r="E5" s="1"/>
    </row>
    <row r="6" spans="1:5" x14ac:dyDescent="0.25">
      <c r="A6" s="1"/>
      <c r="B6" s="1"/>
      <c r="C6" s="1"/>
      <c r="D6" s="1"/>
      <c r="E6" s="1"/>
    </row>
    <row r="7" spans="1:5" x14ac:dyDescent="0.25">
      <c r="A7" s="1"/>
      <c r="B7" s="1"/>
      <c r="C7" s="1"/>
      <c r="D7" s="1"/>
      <c r="E7" s="1"/>
    </row>
    <row r="8" spans="1:5" x14ac:dyDescent="0.25">
      <c r="A8" s="1"/>
      <c r="B8" s="97" t="s">
        <v>97</v>
      </c>
      <c r="C8" s="98"/>
      <c r="D8" s="99"/>
      <c r="E8" s="1"/>
    </row>
    <row r="9" spans="1:5" ht="15" customHeight="1" x14ac:dyDescent="0.25">
      <c r="A9" s="1"/>
      <c r="B9" s="112" t="s">
        <v>123</v>
      </c>
      <c r="C9" s="113"/>
      <c r="D9" s="114"/>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8"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xD+DQw4TMVkilvaKZlviNictdmOO+7Puo+Ti9ZQyidJ8pnoA2BymrjvwvOt/tGAsSpS42j1nwVLgrNx1C/P7Jg==" saltValue="UTQqbrzkCkH/jibmAIvaqQ=="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3" t="s">
        <v>90</v>
      </c>
      <c r="C3" s="93"/>
      <c r="D3" s="93"/>
      <c r="E3" s="93"/>
      <c r="F3" s="93"/>
      <c r="G3" s="93"/>
      <c r="H3" s="93"/>
      <c r="I3" s="93"/>
      <c r="J3" s="93"/>
      <c r="K3" s="93"/>
      <c r="L3" s="1"/>
    </row>
    <row r="4" spans="1:12" ht="15" customHeight="1" x14ac:dyDescent="0.25">
      <c r="A4" s="1"/>
      <c r="B4" s="93"/>
      <c r="C4" s="93"/>
      <c r="D4" s="93"/>
      <c r="E4" s="93"/>
      <c r="F4" s="93"/>
      <c r="G4" s="93"/>
      <c r="H4" s="93"/>
      <c r="I4" s="93"/>
      <c r="J4" s="93"/>
      <c r="K4" s="93"/>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7" t="s">
        <v>74</v>
      </c>
      <c r="C8" s="98"/>
      <c r="D8" s="98"/>
      <c r="E8" s="98"/>
      <c r="F8" s="98"/>
      <c r="G8" s="98"/>
      <c r="H8" s="98"/>
      <c r="I8" s="98"/>
      <c r="J8" s="98"/>
      <c r="K8" s="99"/>
      <c r="L8" s="1"/>
    </row>
    <row r="9" spans="1:12" ht="39.75" customHeight="1" x14ac:dyDescent="0.25">
      <c r="A9" s="1"/>
      <c r="B9" s="18" t="s">
        <v>0</v>
      </c>
      <c r="C9" s="18" t="s">
        <v>1</v>
      </c>
      <c r="D9" s="115" t="s">
        <v>83</v>
      </c>
      <c r="E9" s="116"/>
      <c r="F9" s="115" t="s">
        <v>2</v>
      </c>
      <c r="G9" s="116"/>
      <c r="H9" s="115" t="s">
        <v>84</v>
      </c>
      <c r="I9" s="116"/>
      <c r="J9" s="115" t="s">
        <v>25</v>
      </c>
      <c r="K9" s="116"/>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0"/>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osF6nOE1iHy1sfgah0R63/rJtoywBjL3r7Hk/XS6eoO/tsl8IqRfFGyNM8TZIrPB5U5GuvXYmxe/7on6dp/3uQ==" saltValue="bMRIIVGGLoi98ue70PSNF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91</v>
      </c>
      <c r="C3" s="93"/>
      <c r="D3" s="93"/>
      <c r="E3" s="93"/>
      <c r="F3" s="93"/>
      <c r="G3" s="1"/>
    </row>
    <row r="4" spans="1:7" ht="1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1" t="s">
        <v>15</v>
      </c>
      <c r="C9" s="73" t="s">
        <v>10</v>
      </c>
      <c r="D9" s="72"/>
      <c r="E9" s="73"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205</v>
      </c>
      <c r="C11" s="21">
        <v>122813</v>
      </c>
      <c r="D11" s="14" t="s">
        <v>3</v>
      </c>
      <c r="E11" s="9">
        <v>197108</v>
      </c>
      <c r="F11" s="14" t="s">
        <v>3</v>
      </c>
      <c r="G11" s="1"/>
    </row>
    <row r="12" spans="1:7" x14ac:dyDescent="0.25">
      <c r="A12" s="1"/>
      <c r="B12" s="26"/>
      <c r="C12" s="21"/>
      <c r="D12" s="14" t="s">
        <v>3</v>
      </c>
      <c r="E12" s="9"/>
      <c r="F12" s="14" t="s">
        <v>3</v>
      </c>
      <c r="G12" s="1"/>
    </row>
    <row r="13" spans="1:7" x14ac:dyDescent="0.25">
      <c r="A13" s="1"/>
      <c r="B13" s="26"/>
      <c r="C13" s="21"/>
      <c r="D13" s="14" t="s">
        <v>3</v>
      </c>
      <c r="E13" s="9"/>
      <c r="F13" s="14" t="s">
        <v>3</v>
      </c>
      <c r="G13" s="1"/>
    </row>
    <row r="14" spans="1:7" x14ac:dyDescent="0.25">
      <c r="A14" s="1"/>
      <c r="B14" s="26"/>
      <c r="C14" s="21"/>
      <c r="D14" s="14" t="s">
        <v>3</v>
      </c>
      <c r="E14" s="9"/>
      <c r="F14" s="14" t="s">
        <v>3</v>
      </c>
      <c r="G14" s="1"/>
    </row>
    <row r="15" spans="1:7" x14ac:dyDescent="0.25">
      <c r="A15" s="1"/>
      <c r="B15" s="26"/>
      <c r="C15" s="21"/>
      <c r="D15" s="14" t="s">
        <v>3</v>
      </c>
      <c r="E15" s="9"/>
      <c r="F15" s="14" t="s">
        <v>3</v>
      </c>
      <c r="G15" s="1"/>
    </row>
    <row r="16" spans="1:7" x14ac:dyDescent="0.25">
      <c r="A16" s="1"/>
      <c r="B16" s="26"/>
      <c r="C16" s="21"/>
      <c r="D16" s="14" t="s">
        <v>3</v>
      </c>
      <c r="E16" s="9"/>
      <c r="F16" s="14" t="s">
        <v>3</v>
      </c>
      <c r="G16" s="1"/>
    </row>
    <row r="17" spans="1:7" x14ac:dyDescent="0.25">
      <c r="A17" s="1"/>
      <c r="B17" s="52" t="s">
        <v>112</v>
      </c>
      <c r="C17" s="12">
        <f>SUM(C10:C16)</f>
        <v>122813</v>
      </c>
      <c r="D17" s="13" t="s">
        <v>3</v>
      </c>
      <c r="E17" s="12">
        <f>SUM(E10:E16)</f>
        <v>197108</v>
      </c>
      <c r="F17" s="13" t="s">
        <v>3</v>
      </c>
      <c r="G17" s="1"/>
    </row>
    <row r="18" spans="1:7" x14ac:dyDescent="0.25">
      <c r="A18" s="1"/>
      <c r="B18" s="52" t="s">
        <v>147</v>
      </c>
      <c r="C18" s="12">
        <f>C17*(1+'Fane 13. Nøgletal'!C11)</f>
        <v>130955.5019</v>
      </c>
      <c r="D18" s="13" t="s">
        <v>3</v>
      </c>
      <c r="E18" s="12">
        <f>E17*(1+'Fane 13. Nøgletal'!C11)</f>
        <v>210176.2604</v>
      </c>
      <c r="F18" s="13" t="s">
        <v>3</v>
      </c>
      <c r="G18" s="1"/>
    </row>
    <row r="19" spans="1:7" x14ac:dyDescent="0.25">
      <c r="A19" s="1"/>
      <c r="B19" s="1"/>
      <c r="C19" s="1" t="s">
        <v>82</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CcjDGpIq//eWmWwHBkrqfBFmfk1UHqb+xyUbTQUWtpzOZPSdmL7hiXBhaqskxC4/EPTJxqdcT7fMRfIsAd7g8A==" saltValue="Vq+F00XRv1fzfQftIm9byw=="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92</v>
      </c>
      <c r="C3" s="93"/>
      <c r="D3" s="93"/>
      <c r="E3" s="93"/>
      <c r="F3" s="93"/>
      <c r="G3" s="1"/>
    </row>
    <row r="4" spans="1:7" ht="1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7" t="s">
        <v>150</v>
      </c>
      <c r="C8" s="98"/>
      <c r="D8" s="98"/>
      <c r="E8" s="98"/>
      <c r="F8" s="99"/>
      <c r="G8" s="1"/>
    </row>
    <row r="9" spans="1:7" x14ac:dyDescent="0.25">
      <c r="A9" s="1"/>
      <c r="B9" s="71" t="s">
        <v>15</v>
      </c>
      <c r="C9" s="73" t="s">
        <v>10</v>
      </c>
      <c r="D9" s="74"/>
      <c r="E9" s="73" t="s">
        <v>26</v>
      </c>
      <c r="F9" s="27"/>
      <c r="G9" s="1"/>
    </row>
    <row r="10" spans="1:7" x14ac:dyDescent="0.25">
      <c r="A10" s="1"/>
      <c r="B10" s="23" t="s">
        <v>204</v>
      </c>
      <c r="C10" s="21"/>
      <c r="D10" s="14" t="s">
        <v>3</v>
      </c>
      <c r="E10" s="9"/>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2" t="s">
        <v>148</v>
      </c>
      <c r="C13" s="12">
        <f>SUM(C10:C12)</f>
        <v>0</v>
      </c>
      <c r="D13" s="13" t="s">
        <v>3</v>
      </c>
      <c r="E13" s="12">
        <f>SUM(E10:E12)</f>
        <v>0</v>
      </c>
      <c r="F13" s="13" t="s">
        <v>3</v>
      </c>
      <c r="G13" s="1"/>
    </row>
    <row r="14" spans="1:7" x14ac:dyDescent="0.25">
      <c r="A14" s="1"/>
      <c r="B14" s="52" t="s">
        <v>149</v>
      </c>
      <c r="C14" s="12">
        <f>C13*(1+'Fane 13. Nøgletal'!$C$11)^2</f>
        <v>0</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fHilk3Pi/p+TfEmDjpOPgWMkgyljH8Wg1CiK0dZU3BIBye7IMD8927VQtmiF15/YMUU64/9NOjCygdYV4Ar8Cg==" saltValue="pzXwwRODAa4KQ2jzBgiABw=="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93</v>
      </c>
      <c r="C3" s="95"/>
      <c r="D3" s="95"/>
      <c r="E3" s="95"/>
      <c r="F3" s="95"/>
      <c r="G3" s="1"/>
    </row>
    <row r="4" spans="1:7" ht="15" customHeight="1" x14ac:dyDescent="0.25">
      <c r="A4" s="1"/>
      <c r="B4" s="95"/>
      <c r="C4" s="95"/>
      <c r="D4" s="95"/>
      <c r="E4" s="95"/>
      <c r="F4" s="95"/>
      <c r="G4" s="1"/>
    </row>
    <row r="5" spans="1:7" x14ac:dyDescent="0.25">
      <c r="A5" s="1"/>
      <c r="B5" s="95"/>
      <c r="C5" s="95"/>
      <c r="D5" s="95"/>
      <c r="E5" s="95"/>
      <c r="F5" s="95"/>
      <c r="G5" s="1"/>
    </row>
    <row r="6" spans="1:7" x14ac:dyDescent="0.25">
      <c r="A6" s="1"/>
      <c r="B6" s="1"/>
      <c r="C6" s="1"/>
      <c r="D6" s="1"/>
      <c r="E6" s="1"/>
      <c r="F6" s="1"/>
      <c r="G6" s="1"/>
    </row>
    <row r="7" spans="1:7" x14ac:dyDescent="0.25">
      <c r="A7" s="1"/>
      <c r="B7" s="1"/>
      <c r="C7" s="1"/>
      <c r="D7" s="1"/>
      <c r="E7" s="1"/>
      <c r="F7" s="1"/>
      <c r="G7" s="1"/>
    </row>
    <row r="8" spans="1:7" x14ac:dyDescent="0.25">
      <c r="A8" s="1"/>
      <c r="B8" s="97" t="s">
        <v>59</v>
      </c>
      <c r="C8" s="98"/>
      <c r="D8" s="98"/>
      <c r="E8" s="98"/>
      <c r="F8" s="99"/>
      <c r="G8" s="1"/>
    </row>
    <row r="9" spans="1:7" ht="15" customHeight="1" x14ac:dyDescent="0.25">
      <c r="A9" s="1"/>
      <c r="B9" s="54" t="s">
        <v>60</v>
      </c>
      <c r="C9" s="117" t="s">
        <v>10</v>
      </c>
      <c r="D9" s="118"/>
      <c r="E9" s="117" t="s">
        <v>26</v>
      </c>
      <c r="F9" s="118"/>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6h2pT0Eqgp9yHwUFr8F4Kpt3gF0rKMvHlPrNYS0V6oQ4DIwolsb7KfM1HWVxq5xOanNiJgvdHiFf8LiGoB09Bg==" saltValue="tBi4pCjJw490ZZMorxSEtg=="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94</v>
      </c>
      <c r="C3" s="95"/>
      <c r="D3" s="95"/>
      <c r="E3" s="95"/>
      <c r="F3" s="95"/>
      <c r="G3" s="1"/>
    </row>
    <row r="4" spans="1:7" ht="15" customHeight="1" x14ac:dyDescent="0.25">
      <c r="A4" s="1"/>
      <c r="B4" s="95"/>
      <c r="C4" s="95"/>
      <c r="D4" s="95"/>
      <c r="E4" s="95"/>
      <c r="F4" s="95"/>
      <c r="G4" s="1"/>
    </row>
    <row r="5" spans="1:7" x14ac:dyDescent="0.25">
      <c r="A5" s="1"/>
      <c r="B5" s="95"/>
      <c r="C5" s="95"/>
      <c r="D5" s="95"/>
      <c r="E5" s="95"/>
      <c r="F5" s="95"/>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7" t="s">
        <v>152</v>
      </c>
      <c r="C8" s="98"/>
      <c r="D8" s="98"/>
      <c r="E8" s="98"/>
      <c r="F8" s="99"/>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mY2cP0sNDihe5AFfdV64iDFvaL8gLo/tjOS6lgxjB3675AzZD/Q3cfjp1u5f3xxjOYdFqHnxug14mKVvw8R3aw==" saltValue="uXYnccujhqRJU32puAdwnA=="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5" t="s">
        <v>95</v>
      </c>
      <c r="C3" s="95"/>
      <c r="D3" s="1"/>
    </row>
    <row r="4" spans="1:4" ht="15" customHeight="1" x14ac:dyDescent="0.25">
      <c r="A4" s="1"/>
      <c r="B4" s="95"/>
      <c r="C4" s="95"/>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196</v>
      </c>
      <c r="C11" s="49">
        <v>6.6299999999999998E-2</v>
      </c>
      <c r="D11" s="1"/>
    </row>
    <row r="12" spans="1:4" x14ac:dyDescent="0.25">
      <c r="A12" s="1"/>
      <c r="B12" s="97"/>
      <c r="C12" s="99"/>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197</v>
      </c>
      <c r="C18" s="63">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A88NlyJLLXAH82P22ZLiA4p38gLguGQkkiReGNBPpVOfpSl/oGBrxEnIHyo46ozegqSYJ3FWjrlrqUoJGRU3DQ==" saltValue="q2FXy+gnsEU02zT7Ew4t1A=="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128</v>
      </c>
      <c r="C3" s="93"/>
      <c r="D3" s="93"/>
      <c r="E3" s="1"/>
    </row>
    <row r="4" spans="1:5" ht="15" customHeight="1" x14ac:dyDescent="0.25">
      <c r="A4" s="1"/>
      <c r="B4" s="93"/>
      <c r="C4" s="93"/>
      <c r="D4" s="9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27577717.412138488</v>
      </c>
      <c r="D9" s="8" t="s">
        <v>3</v>
      </c>
      <c r="E9" s="1"/>
    </row>
    <row r="10" spans="1:5" ht="17.100000000000001" customHeight="1" x14ac:dyDescent="0.25">
      <c r="A10" s="1"/>
      <c r="B10" s="24" t="s">
        <v>32</v>
      </c>
      <c r="C10" s="7">
        <f>'Fane 10.1. Varige tillæg'!C18</f>
        <v>130955.5019</v>
      </c>
      <c r="D10" s="8" t="s">
        <v>3</v>
      </c>
      <c r="E10" s="1"/>
    </row>
    <row r="11" spans="1:5" ht="17.100000000000001" customHeight="1" x14ac:dyDescent="0.25">
      <c r="A11" s="1"/>
      <c r="B11" s="24" t="s">
        <v>33</v>
      </c>
      <c r="C11" s="9">
        <f>'Fane 10.1. Varige tillæg'!E18</f>
        <v>210176.2604</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1851019.7002652716</v>
      </c>
      <c r="D16" s="8" t="s">
        <v>3</v>
      </c>
      <c r="E16" s="1"/>
    </row>
    <row r="17" spans="1:5" ht="17.100000000000001" customHeight="1" x14ac:dyDescent="0.25">
      <c r="A17" s="1"/>
      <c r="B17" s="24" t="s">
        <v>9</v>
      </c>
      <c r="C17" s="9">
        <f>-SUM(C9:C16)*'Fane 5. Individuelt eff. krav'!C9</f>
        <v>0</v>
      </c>
      <c r="D17" s="8" t="s">
        <v>3</v>
      </c>
      <c r="E17" s="1"/>
    </row>
    <row r="18" spans="1:5" ht="17.100000000000001" customHeight="1" x14ac:dyDescent="0.25">
      <c r="A18" s="1"/>
      <c r="B18" s="24" t="s">
        <v>21</v>
      </c>
      <c r="C18" s="9">
        <f>-'Fane 4.1. Gen. krav - drift'!C17</f>
        <v>-274802.31210442953</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3" t="s">
        <v>19</v>
      </c>
      <c r="C20" s="10">
        <f>SUM(C9:C19)</f>
        <v>29495066.562599327</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17364468.782654218</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0</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0</v>
      </c>
      <c r="D26" s="8" t="s">
        <v>3</v>
      </c>
      <c r="E26" s="1"/>
    </row>
    <row r="27" spans="1:5" ht="15" customHeight="1" x14ac:dyDescent="0.25">
      <c r="A27" s="1"/>
      <c r="B27" s="24" t="s">
        <v>80</v>
      </c>
      <c r="C27" s="9">
        <f>-C25*('Fane 13. Nøgletal'!C18+'Fane 5. Individuelt eff. krav'!C9)</f>
        <v>0</v>
      </c>
      <c r="D27" s="8" t="s">
        <v>3</v>
      </c>
      <c r="E27" s="1"/>
    </row>
    <row r="28" spans="1:5" x14ac:dyDescent="0.25">
      <c r="A28" s="1"/>
      <c r="B28" s="73" t="s">
        <v>40</v>
      </c>
      <c r="C28" s="50">
        <f>SUM(C24:C27)</f>
        <v>0</v>
      </c>
      <c r="D28" s="11" t="s">
        <v>3</v>
      </c>
      <c r="E28" s="1"/>
    </row>
    <row r="29" spans="1:5" ht="15" customHeight="1" x14ac:dyDescent="0.25">
      <c r="A29" s="1"/>
      <c r="B29" s="25" t="s">
        <v>65</v>
      </c>
      <c r="C29" s="53"/>
      <c r="D29" s="19"/>
      <c r="E29" s="1"/>
    </row>
    <row r="30" spans="1:5" x14ac:dyDescent="0.25">
      <c r="A30" s="1"/>
      <c r="B30" s="58" t="s">
        <v>66</v>
      </c>
      <c r="C30" s="10">
        <f>'Fane 7. Kontrol af ØR2023'!C30</f>
        <v>0</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52" t="s">
        <v>69</v>
      </c>
      <c r="C33" s="29">
        <f>SUM(C20,C22,C28,C30,C32)</f>
        <v>46859535.345253542</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MYzgQxvWRVAGEWNvD8pKLUIHHXcl/RygObUmUT23gM5cXttb13J1JyPjlEva/Fkzu/F2JKbtex9E2tHONMbSg==" saltValue="HsVx09fSsKZibsJQt/zbl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129</v>
      </c>
      <c r="C3" s="93"/>
      <c r="D3" s="93"/>
      <c r="E3" s="1"/>
    </row>
    <row r="4" spans="1:5" ht="15" customHeight="1" x14ac:dyDescent="0.25">
      <c r="A4" s="1"/>
      <c r="B4" s="93"/>
      <c r="C4" s="93"/>
      <c r="D4" s="93"/>
      <c r="E4" s="1"/>
    </row>
    <row r="5" spans="1:5" x14ac:dyDescent="0.25">
      <c r="A5" s="1"/>
      <c r="B5" s="94"/>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29495066.562599327</v>
      </c>
      <c r="D9" s="8" t="s">
        <v>3</v>
      </c>
      <c r="E9" s="1"/>
    </row>
    <row r="10" spans="1:5" ht="15" customHeight="1" x14ac:dyDescent="0.25">
      <c r="A10" s="1"/>
      <c r="B10" s="47" t="s">
        <v>17</v>
      </c>
      <c r="C10" s="41">
        <f>C9*'Fane 13. Nøgletal'!C11</f>
        <v>1955522.9131003353</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drift'!C22</f>
        <v>-287161.27128901414</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31163428.20441065</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18515733.062944192</v>
      </c>
      <c r="D16" s="11" t="s">
        <v>3</v>
      </c>
      <c r="E16" s="1"/>
    </row>
    <row r="17" spans="1:5" x14ac:dyDescent="0.25">
      <c r="A17" s="1"/>
      <c r="B17" s="25" t="s">
        <v>65</v>
      </c>
      <c r="C17" s="53"/>
      <c r="D17" s="19"/>
      <c r="E17" s="1"/>
    </row>
    <row r="18" spans="1:5" ht="15" customHeight="1" x14ac:dyDescent="0.25">
      <c r="A18" s="1"/>
      <c r="B18" s="45" t="s">
        <v>66</v>
      </c>
      <c r="C18" s="10">
        <f>'Fane 7. Kontrol af ØR2023'!C30</f>
        <v>0</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49679161.267354846</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2X5KzSIhNA0eeIuyjvjMnG0iAyiuNukRfgd+HzYfVEYvCGcfZay3jdkRxS+HNDilpUNUz/KtjXzhuC+nFvDo0Q==" saltValue="rAtY+67cZRxYDlcECpVn0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130</v>
      </c>
      <c r="C3" s="93"/>
      <c r="D3" s="93"/>
      <c r="E3" s="1"/>
    </row>
    <row r="4" spans="1:5" ht="15" customHeight="1" x14ac:dyDescent="0.25">
      <c r="A4" s="1"/>
      <c r="B4" s="93"/>
      <c r="C4" s="93"/>
      <c r="D4" s="93"/>
      <c r="E4" s="1"/>
    </row>
    <row r="5" spans="1:5" x14ac:dyDescent="0.25">
      <c r="A5" s="1"/>
      <c r="B5" s="94" t="s">
        <v>20</v>
      </c>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31163428.20441065</v>
      </c>
      <c r="D9" s="8" t="s">
        <v>3</v>
      </c>
      <c r="E9" s="1"/>
    </row>
    <row r="10" spans="1:5" ht="15" customHeight="1" x14ac:dyDescent="0.25">
      <c r="A10" s="1"/>
      <c r="B10" s="47" t="s">
        <v>17</v>
      </c>
      <c r="C10" s="41">
        <f>C9*'Fane 13. Nøgletal'!C11</f>
        <v>2066135.289952426</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drift'!C27</f>
        <v>-300076.06230396632</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32929487.432059109</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19743326.165017392</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52672813.597076505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O6OBSnme6k0o1Leh1BbbeOVKLLXtTvI3S9dbeall3QTuK7c+C/RLEgAaVmkfPfUCYxYeD7ejWA0OjsZBFeq9bw==" saltValue="gCjWCQv+aoEmk0YKy0VUk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131</v>
      </c>
      <c r="C3" s="93"/>
      <c r="D3" s="93"/>
      <c r="E3" s="1"/>
    </row>
    <row r="4" spans="1:5" ht="15" customHeight="1" x14ac:dyDescent="0.25">
      <c r="A4" s="1"/>
      <c r="B4" s="93"/>
      <c r="C4" s="93"/>
      <c r="D4" s="93"/>
      <c r="E4" s="1"/>
    </row>
    <row r="5" spans="1:5" x14ac:dyDescent="0.25">
      <c r="A5" s="1"/>
      <c r="B5" s="94" t="s">
        <v>20</v>
      </c>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32929487.432059109</v>
      </c>
      <c r="D9" s="8" t="s">
        <v>3</v>
      </c>
      <c r="E9" s="1"/>
    </row>
    <row r="10" spans="1:5" ht="15" customHeight="1" x14ac:dyDescent="0.25">
      <c r="A10" s="1"/>
      <c r="B10" s="47" t="s">
        <v>17</v>
      </c>
      <c r="C10" s="9">
        <f>C9*'Fane 13. Nøgletal'!C11</f>
        <v>2183225.0167455189</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drift'!C32</f>
        <v>-313571.68313002487</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34799140.765674606</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21052308.689758047</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55851449.455432653</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a7Vk22pdbqrU8MvCu4B3Z54WPk7tzE/TCdVkt1xHzkyitfR+PPVh3826eKBLpOn/Y8qux5IXWQRH5z0nVhktfg==" saltValue="BfKSN3CvzUVTN9QwjKcUF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2"/>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5" t="s">
        <v>134</v>
      </c>
      <c r="C3" s="95"/>
      <c r="D3" s="95"/>
      <c r="E3" s="1"/>
    </row>
    <row r="4" spans="1:5" ht="15" customHeight="1" x14ac:dyDescent="0.25">
      <c r="A4" s="1"/>
      <c r="B4" s="95"/>
      <c r="C4" s="95"/>
      <c r="D4" s="95"/>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26732568.230347604</v>
      </c>
      <c r="D9" s="8" t="s">
        <v>3</v>
      </c>
      <c r="E9" s="1"/>
    </row>
    <row r="10" spans="1:5" x14ac:dyDescent="0.25">
      <c r="A10" s="1"/>
      <c r="B10" s="24" t="s">
        <v>32</v>
      </c>
      <c r="C10" s="7">
        <v>47221.232799999998</v>
      </c>
      <c r="D10" s="8" t="s">
        <v>3</v>
      </c>
      <c r="E10" s="1"/>
    </row>
    <row r="11" spans="1:5" ht="15" customHeight="1" x14ac:dyDescent="0.25">
      <c r="A11" s="1"/>
      <c r="B11" s="24" t="s">
        <v>33</v>
      </c>
      <c r="C11" s="9">
        <v>95055.279200000004</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963175.37116997468</v>
      </c>
      <c r="D16" s="8" t="s">
        <v>3</v>
      </c>
      <c r="E16" s="1"/>
    </row>
    <row r="17" spans="1:5" x14ac:dyDescent="0.25">
      <c r="A17" s="1"/>
      <c r="B17" s="24" t="s">
        <v>9</v>
      </c>
      <c r="C17" s="9">
        <v>0</v>
      </c>
      <c r="D17" s="8" t="s">
        <v>3</v>
      </c>
      <c r="E17" s="1"/>
    </row>
    <row r="18" spans="1:5" x14ac:dyDescent="0.25">
      <c r="A18" s="1"/>
      <c r="B18" s="24" t="s">
        <v>21</v>
      </c>
      <c r="C18" s="9">
        <v>-260302.70137908708</v>
      </c>
      <c r="D18" s="8" t="s">
        <v>3</v>
      </c>
      <c r="E18" s="1"/>
    </row>
    <row r="19" spans="1:5" x14ac:dyDescent="0.25">
      <c r="A19" s="1"/>
      <c r="B19" s="24" t="s">
        <v>22</v>
      </c>
      <c r="C19" s="9">
        <v>0</v>
      </c>
      <c r="D19" s="8" t="s">
        <v>3</v>
      </c>
      <c r="E19" s="1"/>
    </row>
    <row r="20" spans="1:5" x14ac:dyDescent="0.25">
      <c r="A20" s="1"/>
      <c r="B20" s="73" t="s">
        <v>19</v>
      </c>
      <c r="C20" s="10">
        <v>27577717.412138488</v>
      </c>
      <c r="D20" s="11" t="s">
        <v>3</v>
      </c>
      <c r="E20" s="1"/>
    </row>
    <row r="21" spans="1:5" x14ac:dyDescent="0.25">
      <c r="A21" s="1"/>
      <c r="B21" s="52" t="s">
        <v>11</v>
      </c>
      <c r="C21" s="53"/>
      <c r="D21" s="19"/>
      <c r="E21" s="1"/>
    </row>
    <row r="22" spans="1:5" x14ac:dyDescent="0.25">
      <c r="A22" s="1"/>
      <c r="B22" s="54" t="s">
        <v>11</v>
      </c>
      <c r="C22" s="10">
        <v>16731125.200778238</v>
      </c>
      <c r="D22" s="11" t="s">
        <v>3</v>
      </c>
      <c r="E22" s="1"/>
    </row>
    <row r="23" spans="1:5" x14ac:dyDescent="0.25">
      <c r="A23" s="1"/>
      <c r="B23" s="52" t="s">
        <v>39</v>
      </c>
      <c r="C23" s="53"/>
      <c r="D23" s="19"/>
      <c r="E23" s="1"/>
    </row>
    <row r="24" spans="1:5" ht="1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79</v>
      </c>
      <c r="C26" s="9">
        <v>0</v>
      </c>
      <c r="D26" s="8" t="s">
        <v>3</v>
      </c>
      <c r="E26" s="1"/>
    </row>
    <row r="27" spans="1:5" ht="14.25" customHeight="1" x14ac:dyDescent="0.25">
      <c r="A27" s="1"/>
      <c r="B27" s="24" t="s">
        <v>80</v>
      </c>
      <c r="C27" s="9">
        <v>0</v>
      </c>
      <c r="D27" s="8" t="s">
        <v>3</v>
      </c>
      <c r="E27" s="1"/>
    </row>
    <row r="28" spans="1:5" ht="14.25" customHeight="1" x14ac:dyDescent="0.25">
      <c r="A28" s="1"/>
      <c r="B28" s="73" t="s">
        <v>40</v>
      </c>
      <c r="C28" s="50">
        <v>0</v>
      </c>
      <c r="D28" s="11" t="s">
        <v>3</v>
      </c>
      <c r="E28" s="1"/>
    </row>
    <row r="29" spans="1:5" x14ac:dyDescent="0.25">
      <c r="A29" s="1"/>
      <c r="B29" s="25" t="s">
        <v>65</v>
      </c>
      <c r="C29" s="53"/>
      <c r="D29" s="19"/>
      <c r="E29" s="1"/>
    </row>
    <row r="30" spans="1:5" x14ac:dyDescent="0.25">
      <c r="A30" s="1"/>
      <c r="B30" s="58" t="s">
        <v>66</v>
      </c>
      <c r="C30" s="10">
        <v>0</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25" t="s">
        <v>193</v>
      </c>
      <c r="C33" s="53"/>
      <c r="D33" s="19"/>
      <c r="E33" s="1"/>
    </row>
    <row r="34" spans="1:5" ht="15.6" customHeight="1" x14ac:dyDescent="0.25">
      <c r="A34" s="1"/>
      <c r="B34" s="58" t="s">
        <v>194</v>
      </c>
      <c r="C34" s="10">
        <v>515404.65855123568</v>
      </c>
      <c r="D34" s="11" t="s">
        <v>3</v>
      </c>
      <c r="E34" s="1"/>
    </row>
    <row r="35" spans="1:5" ht="15.6" customHeight="1" x14ac:dyDescent="0.25">
      <c r="A35" s="1"/>
      <c r="B35" s="52" t="s">
        <v>67</v>
      </c>
      <c r="C35" s="29">
        <v>44824247.271467961</v>
      </c>
      <c r="D35" s="19" t="s">
        <v>3</v>
      </c>
      <c r="E35" s="1"/>
    </row>
    <row r="36" spans="1:5" ht="30" customHeight="1" x14ac:dyDescent="0.25">
      <c r="A36" s="1"/>
      <c r="B36" s="96" t="s">
        <v>195</v>
      </c>
      <c r="C36" s="96"/>
      <c r="D36" s="96"/>
      <c r="E36" s="1"/>
    </row>
    <row r="37" spans="1:5" ht="27.75" customHeight="1"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row r="51" spans="1:5" hidden="1" x14ac:dyDescent="0.25"/>
    <row r="52" spans="1:5" hidden="1" x14ac:dyDescent="0.25"/>
  </sheetData>
  <sheetProtection algorithmName="SHA-512" hashValue="sQTnQl1lMD1SEp0FKiWIesKw4A2VQLtwDNsV84tqmBhviTb7rt50eOOtCngOMe97DsYcVXCM66g1glrdrcI1fQ==" saltValue="Ouc9kEGqdV/DJJZHXAS8UQ==" spinCount="100000" sheet="1" objects="1" scenarios="1"/>
  <mergeCells count="2">
    <mergeCell ref="B3:D4"/>
    <mergeCell ref="B36:D36"/>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5" t="s">
        <v>53</v>
      </c>
      <c r="C3" s="95"/>
      <c r="D3" s="95"/>
      <c r="E3" s="1"/>
    </row>
    <row r="4" spans="1:5" ht="15" customHeight="1" x14ac:dyDescent="0.25">
      <c r="A4" s="1"/>
      <c r="B4" s="95"/>
      <c r="C4" s="95"/>
      <c r="D4" s="95"/>
      <c r="E4" s="1"/>
    </row>
    <row r="5" spans="1:5" ht="15" customHeight="1" x14ac:dyDescent="0.25">
      <c r="A5" s="1"/>
      <c r="B5" s="95"/>
      <c r="C5" s="95"/>
      <c r="D5" s="95"/>
      <c r="E5" s="1"/>
    </row>
    <row r="6" spans="1:5" ht="15" customHeight="1" x14ac:dyDescent="0.25">
      <c r="A6" s="1"/>
      <c r="B6" s="67"/>
      <c r="C6" s="67"/>
      <c r="D6" s="67"/>
      <c r="E6" s="1"/>
    </row>
    <row r="7" spans="1:5" x14ac:dyDescent="0.25">
      <c r="A7" s="1"/>
      <c r="B7" s="1"/>
      <c r="C7" s="32"/>
      <c r="D7" s="1"/>
      <c r="E7" s="1"/>
    </row>
    <row r="8" spans="1:5" x14ac:dyDescent="0.25">
      <c r="A8" s="1"/>
      <c r="B8" s="97" t="s">
        <v>75</v>
      </c>
      <c r="C8" s="98"/>
      <c r="D8" s="99"/>
      <c r="E8" s="1"/>
    </row>
    <row r="9" spans="1:5" x14ac:dyDescent="0.25">
      <c r="A9" s="1"/>
      <c r="B9" s="56" t="s">
        <v>167</v>
      </c>
      <c r="C9" s="22">
        <v>12964098.360544112</v>
      </c>
      <c r="D9" s="14" t="s">
        <v>3</v>
      </c>
      <c r="E9" s="1"/>
    </row>
    <row r="10" spans="1:5" x14ac:dyDescent="0.25">
      <c r="A10" s="1"/>
      <c r="B10" s="56" t="s">
        <v>110</v>
      </c>
      <c r="C10" s="22">
        <f>('Fane 3. Omkostninger i ØR2024'!C10+'Fane 3. Omkostninger i ØR2024'!C12+'Fane 3. Omkostninger i ØR2024'!C14)*(1+'Fane 13. Nøgletal'!C10)</f>
        <v>51036.708410239997</v>
      </c>
      <c r="D10" s="14" t="s">
        <v>3</v>
      </c>
      <c r="E10" s="1"/>
    </row>
    <row r="11" spans="1:5" x14ac:dyDescent="0.25">
      <c r="A11" s="1"/>
      <c r="B11" s="56" t="s">
        <v>81</v>
      </c>
      <c r="C11" s="22">
        <f>C9*'Fane 13. Nøgletal'!C23+C10*'Fane 13. Nøgletal'!C23</f>
        <v>260302.70137908703</v>
      </c>
      <c r="D11" s="14" t="s">
        <v>3</v>
      </c>
      <c r="E11" s="1"/>
    </row>
    <row r="12" spans="1:5" x14ac:dyDescent="0.25">
      <c r="A12" s="1"/>
      <c r="B12" s="52"/>
      <c r="C12" s="31"/>
      <c r="D12" s="19"/>
      <c r="E12" s="1"/>
    </row>
    <row r="13" spans="1:5" x14ac:dyDescent="0.25">
      <c r="A13" s="1"/>
      <c r="B13" s="1"/>
      <c r="C13" s="32"/>
      <c r="D13" s="1"/>
      <c r="E13" s="1"/>
    </row>
    <row r="14" spans="1:5" x14ac:dyDescent="0.25">
      <c r="A14" s="1"/>
      <c r="B14" s="97" t="s">
        <v>153</v>
      </c>
      <c r="C14" s="98"/>
      <c r="D14" s="99"/>
      <c r="E14" s="1"/>
    </row>
    <row r="15" spans="1:5" x14ac:dyDescent="0.25">
      <c r="A15" s="1"/>
      <c r="B15" s="56" t="s">
        <v>168</v>
      </c>
      <c r="C15" s="22">
        <f>(C9+C10-C11)*(1+'Fane 13. Nøgletal'!C11)</f>
        <v>13600477.753545506</v>
      </c>
      <c r="D15" s="14" t="s">
        <v>3</v>
      </c>
      <c r="E15" s="1"/>
    </row>
    <row r="16" spans="1:5" x14ac:dyDescent="0.25">
      <c r="A16" s="1"/>
      <c r="B16" s="56" t="s">
        <v>154</v>
      </c>
      <c r="C16" s="61">
        <f>('Fane 2.1. Økonomisk ramme 2025'!C10+'Fane 2.1. Økonomisk ramme 2025'!C12+'Fane 2.1. Økonomisk ramme 2025'!C14)*(1+'Fane 13. Nøgletal'!C11)</f>
        <v>139637.85167597001</v>
      </c>
      <c r="D16" s="14" t="s">
        <v>3</v>
      </c>
      <c r="E16" s="1"/>
    </row>
    <row r="17" spans="1:5" x14ac:dyDescent="0.25">
      <c r="A17" s="1"/>
      <c r="B17" s="56" t="s">
        <v>155</v>
      </c>
      <c r="C17" s="22">
        <f>(C15+C16)*'Fane 13. Nøgletal'!C23</f>
        <v>274802.31210442953</v>
      </c>
      <c r="D17" s="14" t="s">
        <v>3</v>
      </c>
      <c r="E17" s="1"/>
    </row>
    <row r="18" spans="1:5" x14ac:dyDescent="0.25">
      <c r="A18" s="1"/>
      <c r="B18" s="52"/>
      <c r="C18" s="31"/>
      <c r="D18" s="19"/>
      <c r="E18" s="1"/>
    </row>
    <row r="19" spans="1:5" x14ac:dyDescent="0.25">
      <c r="A19" s="1"/>
      <c r="B19" s="1"/>
      <c r="C19" s="32"/>
      <c r="D19" s="1"/>
      <c r="E19" s="1"/>
    </row>
    <row r="20" spans="1:5" x14ac:dyDescent="0.25">
      <c r="A20" s="1"/>
      <c r="B20" s="97" t="s">
        <v>170</v>
      </c>
      <c r="C20" s="98"/>
      <c r="D20" s="99"/>
      <c r="E20" s="1"/>
    </row>
    <row r="21" spans="1:5" x14ac:dyDescent="0.25">
      <c r="A21" s="1"/>
      <c r="B21" s="56" t="s">
        <v>169</v>
      </c>
      <c r="C21" s="48">
        <f>(C15+C16-C17)*(1+'Fane 13. Nøgletal'!C11)</f>
        <v>14358063.564450707</v>
      </c>
      <c r="D21" s="14" t="s">
        <v>3</v>
      </c>
      <c r="E21" s="1"/>
    </row>
    <row r="22" spans="1:5" x14ac:dyDescent="0.25">
      <c r="A22" s="1"/>
      <c r="B22" s="56" t="s">
        <v>171</v>
      </c>
      <c r="C22" s="48">
        <f>(C21)*'Fane 13. Nøgletal'!C23</f>
        <v>287161.27128901414</v>
      </c>
      <c r="D22" s="14" t="s">
        <v>3</v>
      </c>
      <c r="E22" s="1"/>
    </row>
    <row r="23" spans="1:5" x14ac:dyDescent="0.25">
      <c r="A23" s="1"/>
      <c r="B23" s="52"/>
      <c r="C23" s="31"/>
      <c r="D23" s="19"/>
      <c r="E23" s="1"/>
    </row>
    <row r="24" spans="1:5" x14ac:dyDescent="0.25">
      <c r="A24" s="1"/>
      <c r="B24" s="1"/>
      <c r="C24" s="32"/>
      <c r="D24" s="1"/>
      <c r="E24" s="1"/>
    </row>
    <row r="25" spans="1:5" x14ac:dyDescent="0.25">
      <c r="A25" s="1"/>
      <c r="B25" s="97" t="s">
        <v>116</v>
      </c>
      <c r="C25" s="98"/>
      <c r="D25" s="99"/>
      <c r="E25" s="1"/>
    </row>
    <row r="26" spans="1:5" x14ac:dyDescent="0.25">
      <c r="A26" s="1"/>
      <c r="B26" s="56" t="s">
        <v>117</v>
      </c>
      <c r="C26" s="48">
        <f>(C21-C22)*(1+'Fane 13. Nøgletal'!C11)</f>
        <v>15003803.115198314</v>
      </c>
      <c r="D26" s="14" t="s">
        <v>3</v>
      </c>
      <c r="E26" s="1"/>
    </row>
    <row r="27" spans="1:5" x14ac:dyDescent="0.25">
      <c r="A27" s="1"/>
      <c r="B27" s="56" t="s">
        <v>118</v>
      </c>
      <c r="C27" s="48">
        <f>(C26)*'Fane 13. Nøgletal'!C23</f>
        <v>300076.06230396632</v>
      </c>
      <c r="D27" s="14" t="s">
        <v>3</v>
      </c>
      <c r="E27" s="1"/>
    </row>
    <row r="28" spans="1:5" x14ac:dyDescent="0.25">
      <c r="A28" s="1"/>
      <c r="B28" s="52"/>
      <c r="C28" s="42"/>
      <c r="D28" s="19"/>
      <c r="E28" s="1"/>
    </row>
    <row r="29" spans="1:5" x14ac:dyDescent="0.25">
      <c r="A29" s="1"/>
      <c r="B29" s="1"/>
      <c r="C29" s="32"/>
      <c r="D29" s="1"/>
      <c r="E29" s="1"/>
    </row>
    <row r="30" spans="1:5" x14ac:dyDescent="0.25">
      <c r="A30" s="1"/>
      <c r="B30" s="97" t="s">
        <v>136</v>
      </c>
      <c r="C30" s="98"/>
      <c r="D30" s="99"/>
      <c r="E30" s="1"/>
    </row>
    <row r="31" spans="1:5" x14ac:dyDescent="0.25">
      <c r="A31" s="1"/>
      <c r="B31" s="56" t="s">
        <v>137</v>
      </c>
      <c r="C31" s="48">
        <f>(C26-C27)*(1+'Fane 13. Nøgletal'!C11)</f>
        <v>15678584.156501245</v>
      </c>
      <c r="D31" s="14" t="s">
        <v>3</v>
      </c>
      <c r="E31" s="1"/>
    </row>
    <row r="32" spans="1:5" x14ac:dyDescent="0.25">
      <c r="A32" s="1"/>
      <c r="B32" s="56" t="s">
        <v>138</v>
      </c>
      <c r="C32" s="48">
        <f>(C31)*'Fane 13. Nøgletal'!C23</f>
        <v>313571.68313002487</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HSl9hAcXBoVJUBnH0IBotbphvC2lSyTzfJJxnRIjmlKJgTgzRD7CBGJmpsGFv2a7gEPePNIhkpm2PeuaA7GB8Q==" saltValue="VDdiSdQqbkxYlSZRfoYZ1Q=="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0" t="s">
        <v>54</v>
      </c>
      <c r="C3" s="101"/>
      <c r="D3" s="101"/>
      <c r="E3" s="1"/>
    </row>
    <row r="4" spans="1:5" ht="15" customHeight="1" x14ac:dyDescent="0.25">
      <c r="A4" s="1"/>
      <c r="B4" s="101"/>
      <c r="C4" s="101"/>
      <c r="D4" s="101"/>
      <c r="E4" s="1"/>
    </row>
    <row r="5" spans="1:5" ht="15" customHeight="1" x14ac:dyDescent="0.25">
      <c r="A5" s="1"/>
      <c r="B5" s="101"/>
      <c r="C5" s="101"/>
      <c r="D5" s="101"/>
      <c r="E5" s="1"/>
    </row>
    <row r="6" spans="1:5" ht="15" customHeight="1" x14ac:dyDescent="0.25">
      <c r="A6" s="1"/>
      <c r="B6" s="1"/>
      <c r="C6" s="1"/>
      <c r="D6" s="1"/>
      <c r="E6" s="1"/>
    </row>
    <row r="7" spans="1:5" ht="15" customHeight="1" x14ac:dyDescent="0.25">
      <c r="A7" s="1"/>
      <c r="B7" s="1"/>
      <c r="C7" s="1"/>
      <c r="D7" s="1"/>
      <c r="E7" s="1"/>
    </row>
    <row r="8" spans="1:5" x14ac:dyDescent="0.25">
      <c r="A8" s="1"/>
      <c r="B8" s="97" t="s">
        <v>76</v>
      </c>
      <c r="C8" s="98"/>
      <c r="D8" s="99"/>
      <c r="E8" s="1"/>
    </row>
    <row r="9" spans="1:5" x14ac:dyDescent="0.25">
      <c r="A9" s="1"/>
      <c r="B9" s="56" t="s">
        <v>162</v>
      </c>
      <c r="C9" s="48">
        <v>16158954.83408509</v>
      </c>
      <c r="D9" s="14" t="s">
        <v>3</v>
      </c>
      <c r="E9" s="1"/>
    </row>
    <row r="10" spans="1:5" x14ac:dyDescent="0.25">
      <c r="A10" s="1"/>
      <c r="B10" s="56" t="s">
        <v>113</v>
      </c>
      <c r="C10" s="48">
        <f>('Fane 3. Omkostninger i ØR2024'!C11+'Fane 3. Omkostninger i ØR2024'!C13+'Fane 3. Omkostninger i ØR2024'!C15)*(1+'Fane 13. Nøgletal'!C10)</f>
        <v>102735.74575936</v>
      </c>
      <c r="D10" s="14" t="s">
        <v>3</v>
      </c>
      <c r="E10" s="1"/>
    </row>
    <row r="11" spans="1:5" x14ac:dyDescent="0.25">
      <c r="A11" s="1"/>
      <c r="B11" s="56" t="s">
        <v>114</v>
      </c>
      <c r="C11" s="61">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7" t="s">
        <v>156</v>
      </c>
      <c r="C14" s="98"/>
      <c r="D14" s="99"/>
      <c r="E14" s="1"/>
    </row>
    <row r="15" spans="1:5" x14ac:dyDescent="0.25">
      <c r="A15" s="1"/>
      <c r="B15" s="56" t="s">
        <v>163</v>
      </c>
      <c r="C15" s="48">
        <f>(C9+C10-C11)*(1+'Fane 13. Nøgletal'!C11)</f>
        <v>17339840.665288139</v>
      </c>
      <c r="D15" s="14" t="s">
        <v>3</v>
      </c>
      <c r="E15" s="1"/>
    </row>
    <row r="16" spans="1:5" x14ac:dyDescent="0.25">
      <c r="A16" s="1"/>
      <c r="B16" s="56" t="s">
        <v>157</v>
      </c>
      <c r="C16" s="61">
        <f>('Fane 2.1. Økonomisk ramme 2025'!C11+'Fane 2.1. Økonomisk ramme 2025'!C13+'Fane 2.1. Økonomisk ramme 2025'!C15)*(1+'Fane 13. Nøgletal'!C11)</f>
        <v>224110.94646452001</v>
      </c>
      <c r="D16" s="14" t="s">
        <v>3</v>
      </c>
      <c r="E16" s="1"/>
    </row>
    <row r="17" spans="1:5" x14ac:dyDescent="0.25">
      <c r="A17" s="1"/>
      <c r="B17" s="56" t="s">
        <v>158</v>
      </c>
      <c r="C17" s="61">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7" t="s">
        <v>166</v>
      </c>
      <c r="C20" s="98"/>
      <c r="D20" s="99"/>
      <c r="E20" s="1"/>
    </row>
    <row r="21" spans="1:5" x14ac:dyDescent="0.25">
      <c r="A21" s="1"/>
      <c r="B21" s="56" t="s">
        <v>164</v>
      </c>
      <c r="C21" s="48">
        <f>(C15+C16-C17)*(1+'Fane 13. Nøgletal'!C11)</f>
        <v>18728441.60361186</v>
      </c>
      <c r="D21" s="14" t="s">
        <v>3</v>
      </c>
      <c r="E21" s="1"/>
    </row>
    <row r="22" spans="1:5" x14ac:dyDescent="0.25">
      <c r="A22" s="1"/>
      <c r="B22" s="56" t="s">
        <v>165</v>
      </c>
      <c r="C22" s="61">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7" t="s">
        <v>119</v>
      </c>
      <c r="C25" s="98"/>
      <c r="D25" s="99"/>
      <c r="E25" s="1"/>
    </row>
    <row r="26" spans="1:5" x14ac:dyDescent="0.25">
      <c r="A26" s="1"/>
      <c r="B26" s="56" t="s">
        <v>120</v>
      </c>
      <c r="C26" s="48">
        <f>(C21-C22)*(1+'Fane 13. Nøgletal'!C11)</f>
        <v>19970137.281931326</v>
      </c>
      <c r="D26" s="14" t="s">
        <v>3</v>
      </c>
      <c r="E26" s="1"/>
    </row>
    <row r="27" spans="1:5" x14ac:dyDescent="0.25">
      <c r="A27" s="1"/>
      <c r="B27" s="56" t="s">
        <v>121</v>
      </c>
      <c r="C27" s="61">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7" t="s">
        <v>139</v>
      </c>
      <c r="C30" s="98"/>
      <c r="D30" s="99"/>
      <c r="E30" s="1"/>
    </row>
    <row r="31" spans="1:5" x14ac:dyDescent="0.25">
      <c r="A31" s="1"/>
      <c r="B31" s="56" t="s">
        <v>140</v>
      </c>
      <c r="C31" s="48">
        <f>(C26-C27)*(1+'Fane 13. Nøgletal'!C11)</f>
        <v>21294157.383723374</v>
      </c>
      <c r="D31" s="14" t="s">
        <v>3</v>
      </c>
      <c r="E31" s="1"/>
    </row>
    <row r="32" spans="1:5" x14ac:dyDescent="0.25">
      <c r="A32" s="1"/>
      <c r="B32" s="56" t="s">
        <v>141</v>
      </c>
      <c r="C32" s="61">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c7KkjETzrOh4l9NRTTPVDxPBvmFFIk/WHi0zY7msOkxErdr+Ng5LK2PMJJ6mY9JpTTxOF+wCmOUqnh0gApQXEg==" saltValue="PXh0AsFWzs5WcRJpKqcktg=="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3" t="s">
        <v>41</v>
      </c>
      <c r="C3" s="93"/>
      <c r="D3" s="1"/>
    </row>
    <row r="4" spans="1:4" ht="15" customHeight="1" x14ac:dyDescent="0.25">
      <c r="A4" s="1"/>
      <c r="B4" s="93"/>
      <c r="C4" s="93"/>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7" t="s">
        <v>9</v>
      </c>
      <c r="C8" s="99"/>
      <c r="D8" s="1"/>
    </row>
    <row r="9" spans="1:4" x14ac:dyDescent="0.25">
      <c r="A9" s="1"/>
      <c r="B9" s="56" t="s">
        <v>160</v>
      </c>
      <c r="C9" s="44">
        <v>0</v>
      </c>
      <c r="D9" s="1"/>
    </row>
    <row r="10" spans="1:4" x14ac:dyDescent="0.25">
      <c r="A10" s="1"/>
      <c r="B10" s="52"/>
      <c r="C10" s="19"/>
      <c r="D10" s="1"/>
    </row>
    <row r="11" spans="1:4" ht="15" customHeight="1" x14ac:dyDescent="0.25">
      <c r="A11" s="1"/>
      <c r="B11" s="102" t="s">
        <v>161</v>
      </c>
      <c r="C11" s="103"/>
      <c r="D11" s="1"/>
    </row>
    <row r="12" spans="1:4" ht="13.5" customHeight="1" x14ac:dyDescent="0.25">
      <c r="A12" s="1"/>
      <c r="B12" s="104"/>
      <c r="C12" s="10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zrLSkpU2oDfeElHUMPlXYY+vc5/I1BJmOEowxtDN6d9yqbmPv4h+Jst5tjUK69GtbvTuCnnou6yBUyc+BicTJQ==" saltValue="LXx1GUEXyfT1O26VwAHeTw=="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2024-10-02T12:43:49Z</dcterms:modified>
</cp:coreProperties>
</file>