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Rødovre AS (V09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<sst xmlns="http://schemas.openxmlformats.org/spreadsheetml/2006/main" count="511" uniqueCount="255">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</sst>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topLeftCell="A7"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4" t="s">
        <v>4</v>
      </c>
      <c r="E6" s="84"/>
      <c r="F6" s="84"/>
      <c r="G6" s="84"/>
      <c r="H6" s="3"/>
      <c r="I6" s="1"/>
    </row>
    <row r="7" spans="1:9" ht="15" customHeight="1" x14ac:dyDescent="0.25">
      <c r="A7" s="1"/>
      <c r="B7" s="1"/>
      <c r="C7" s="3"/>
      <c r="D7" s="84"/>
      <c r="E7" s="84"/>
      <c r="F7" s="84"/>
      <c r="G7" s="84"/>
      <c r="H7" s="3"/>
      <c r="I7" s="1"/>
    </row>
    <row r="8" spans="1:9" ht="15.75" x14ac:dyDescent="0.25">
      <c r="A8" s="1"/>
      <c r="B8" s="1"/>
      <c r="C8" s="4"/>
      <c r="D8" s="89" t="s">
        <v>194</v>
      </c>
      <c r="E8" s="89"/>
      <c r="F8" s="89"/>
      <c r="G8" s="8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1" t="s">
        <v>161</v>
      </c>
      <c r="E13" s="82"/>
      <c r="F13" s="82"/>
      <c r="G13" s="83"/>
      <c r="H13" s="1"/>
      <c r="I13" s="1"/>
    </row>
    <row r="14" spans="1:9" x14ac:dyDescent="0.25">
      <c r="A14" s="1"/>
      <c r="B14" s="1"/>
      <c r="C14" s="6" t="s">
        <v>14</v>
      </c>
      <c r="D14" s="81" t="s">
        <v>204</v>
      </c>
      <c r="E14" s="82"/>
      <c r="F14" s="82"/>
      <c r="G14" s="83"/>
      <c r="H14" s="1"/>
      <c r="I14" s="1"/>
    </row>
    <row r="15" spans="1:9" x14ac:dyDescent="0.25">
      <c r="A15" s="1"/>
      <c r="B15" s="1"/>
      <c r="C15" s="6" t="s">
        <v>32</v>
      </c>
      <c r="D15" s="81" t="s">
        <v>137</v>
      </c>
      <c r="E15" s="82"/>
      <c r="F15" s="82"/>
      <c r="G15" s="83"/>
      <c r="H15" s="1"/>
      <c r="I15" s="1"/>
    </row>
    <row r="16" spans="1:9" x14ac:dyDescent="0.25">
      <c r="A16" s="1"/>
      <c r="B16" s="1"/>
      <c r="C16" s="6" t="s">
        <v>33</v>
      </c>
      <c r="D16" s="81" t="s">
        <v>162</v>
      </c>
      <c r="E16" s="82"/>
      <c r="F16" s="82"/>
      <c r="G16" s="83"/>
      <c r="H16" s="1"/>
      <c r="I16" s="1"/>
    </row>
    <row r="17" spans="1:9" x14ac:dyDescent="0.25">
      <c r="A17" s="1"/>
      <c r="B17" s="1"/>
      <c r="C17" s="6" t="s">
        <v>110</v>
      </c>
      <c r="D17" s="81" t="s">
        <v>163</v>
      </c>
      <c r="E17" s="82"/>
      <c r="F17" s="82"/>
      <c r="G17" s="83"/>
      <c r="H17" s="1"/>
      <c r="I17" s="1"/>
    </row>
    <row r="18" spans="1:9" x14ac:dyDescent="0.25">
      <c r="A18" s="1"/>
      <c r="B18" s="1"/>
      <c r="C18" s="6" t="s">
        <v>94</v>
      </c>
      <c r="D18" s="90" t="s">
        <v>86</v>
      </c>
      <c r="E18" s="91"/>
      <c r="F18" s="91"/>
      <c r="G18" s="92"/>
      <c r="H18" s="1"/>
      <c r="I18" s="1"/>
    </row>
    <row r="19" spans="1:9" x14ac:dyDescent="0.25">
      <c r="A19" s="1"/>
      <c r="B19" s="1"/>
      <c r="C19" s="6" t="s">
        <v>95</v>
      </c>
      <c r="D19" s="90" t="s">
        <v>87</v>
      </c>
      <c r="E19" s="91"/>
      <c r="F19" s="91"/>
      <c r="G19" s="92"/>
      <c r="H19" s="1"/>
      <c r="I19" s="1"/>
    </row>
    <row r="20" spans="1:9" x14ac:dyDescent="0.25">
      <c r="A20" s="1"/>
      <c r="B20" s="1"/>
      <c r="C20" s="6" t="s">
        <v>7</v>
      </c>
      <c r="D20" s="90" t="s">
        <v>9</v>
      </c>
      <c r="E20" s="91"/>
      <c r="F20" s="91"/>
      <c r="G20" s="92"/>
      <c r="H20" s="1"/>
      <c r="I20" s="1"/>
    </row>
    <row r="21" spans="1:9" x14ac:dyDescent="0.25">
      <c r="A21" s="1"/>
      <c r="B21" s="1"/>
      <c r="C21" s="6" t="s">
        <v>96</v>
      </c>
      <c r="D21" s="96" t="s">
        <v>11</v>
      </c>
      <c r="E21" s="97"/>
      <c r="F21" s="97"/>
      <c r="G21" s="98"/>
      <c r="H21" s="1"/>
      <c r="I21" s="1"/>
    </row>
    <row r="22" spans="1:9" x14ac:dyDescent="0.25">
      <c r="A22" s="1"/>
      <c r="B22" s="1"/>
      <c r="C22" s="6" t="s">
        <v>78</v>
      </c>
      <c r="D22" s="85" t="s">
        <v>164</v>
      </c>
      <c r="E22" s="86"/>
      <c r="F22" s="86"/>
      <c r="G22" s="87"/>
      <c r="H22" s="1"/>
      <c r="I22" s="1"/>
    </row>
    <row r="23" spans="1:9" x14ac:dyDescent="0.25">
      <c r="A23" s="1"/>
      <c r="B23" s="1"/>
      <c r="C23" s="6" t="s">
        <v>8</v>
      </c>
      <c r="D23" s="85" t="s">
        <v>219</v>
      </c>
      <c r="E23" s="86"/>
      <c r="F23" s="86"/>
      <c r="G23" s="87"/>
      <c r="H23" s="1"/>
      <c r="I23" s="1"/>
    </row>
    <row r="24" spans="1:9" x14ac:dyDescent="0.25">
      <c r="A24" s="1"/>
      <c r="B24" s="1"/>
      <c r="C24" s="6" t="s">
        <v>215</v>
      </c>
      <c r="D24" s="85" t="s">
        <v>205</v>
      </c>
      <c r="E24" s="86"/>
      <c r="F24" s="86"/>
      <c r="G24" s="87"/>
      <c r="H24" s="1"/>
      <c r="I24" s="1"/>
    </row>
    <row r="25" spans="1:9" x14ac:dyDescent="0.25">
      <c r="A25" s="1"/>
      <c r="B25" s="1"/>
      <c r="C25" s="6" t="s">
        <v>216</v>
      </c>
      <c r="D25" s="85" t="s">
        <v>79</v>
      </c>
      <c r="E25" s="86"/>
      <c r="F25" s="86"/>
      <c r="G25" s="87"/>
      <c r="H25" s="1"/>
      <c r="I25" s="1"/>
    </row>
    <row r="26" spans="1:9" x14ac:dyDescent="0.25">
      <c r="A26" s="1"/>
      <c r="B26" s="1"/>
      <c r="C26" s="6" t="s">
        <v>217</v>
      </c>
      <c r="D26" s="85" t="s">
        <v>80</v>
      </c>
      <c r="E26" s="86"/>
      <c r="F26" s="86"/>
      <c r="G26" s="87"/>
      <c r="H26" s="1"/>
      <c r="I26" s="1"/>
    </row>
    <row r="27" spans="1:9" x14ac:dyDescent="0.25">
      <c r="A27" s="1"/>
      <c r="B27" s="1"/>
      <c r="C27" s="6" t="s">
        <v>97</v>
      </c>
      <c r="D27" s="85" t="s">
        <v>111</v>
      </c>
      <c r="E27" s="86"/>
      <c r="F27" s="86"/>
      <c r="G27" s="87"/>
      <c r="H27" s="1"/>
      <c r="I27" s="1"/>
    </row>
    <row r="28" spans="1:9" x14ac:dyDescent="0.25">
      <c r="A28" s="1"/>
      <c r="B28" s="1"/>
      <c r="C28" s="6" t="s">
        <v>91</v>
      </c>
      <c r="D28" s="85" t="s">
        <v>34</v>
      </c>
      <c r="E28" s="86"/>
      <c r="F28" s="86"/>
      <c r="G28" s="87"/>
      <c r="H28" s="1"/>
      <c r="I28" s="1"/>
    </row>
    <row r="29" spans="1:9" x14ac:dyDescent="0.25">
      <c r="A29" s="1"/>
      <c r="B29" s="1"/>
      <c r="C29" s="6" t="s">
        <v>218</v>
      </c>
      <c r="D29" s="93" t="s">
        <v>92</v>
      </c>
      <c r="E29" s="94"/>
      <c r="F29" s="94"/>
      <c r="G29" s="95"/>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APH+ALlVL2ziYk5PP4CYR14y4/JR4GR0KyFv7rCgvVZvOdB+Do9eGvn/wbHPwMKPhQhOpStMU/Gxzh0ytLhbVw==" saltValue="R3I0Fp6AUKIoKyFv5mrXf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181</v>
      </c>
      <c r="C8" s="119"/>
      <c r="D8" s="120"/>
      <c r="E8" s="1"/>
      <c r="F8" s="1"/>
    </row>
    <row r="9" spans="1:6" ht="15" customHeight="1" x14ac:dyDescent="0.25">
      <c r="A9" s="1"/>
      <c r="B9" s="32" t="s">
        <v>30</v>
      </c>
      <c r="C9" s="11" t="s">
        <v>212</v>
      </c>
      <c r="D9" s="11"/>
      <c r="E9" s="1"/>
      <c r="F9" s="1"/>
    </row>
    <row r="10" spans="1:6" x14ac:dyDescent="0.25">
      <c r="A10" s="1"/>
      <c r="B10" s="75" t="s">
        <v>231</v>
      </c>
      <c r="C10" s="9">
        <v>11521106</v>
      </c>
      <c r="D10" s="14" t="s">
        <v>3</v>
      </c>
      <c r="E10" s="1"/>
      <c r="F10" s="1"/>
    </row>
    <row r="11" spans="1:6" x14ac:dyDescent="0.25">
      <c r="A11" s="1"/>
      <c r="B11" s="75" t="s">
        <v>232</v>
      </c>
      <c r="C11" s="9">
        <v>101008</v>
      </c>
      <c r="D11" s="14" t="s">
        <v>3</v>
      </c>
      <c r="E11" s="1"/>
      <c r="F11" s="1"/>
    </row>
    <row r="12" spans="1:6" ht="26.25" x14ac:dyDescent="0.25">
      <c r="A12" s="1"/>
      <c r="B12" s="80" t="s">
        <v>233</v>
      </c>
      <c r="C12" s="9">
        <v>5598694</v>
      </c>
      <c r="D12" s="14" t="s">
        <v>3</v>
      </c>
      <c r="E12" s="1"/>
      <c r="F12" s="1"/>
    </row>
    <row r="13" spans="1:6" x14ac:dyDescent="0.25">
      <c r="A13" s="1"/>
      <c r="B13" s="75" t="s">
        <v>234</v>
      </c>
      <c r="C13" s="9">
        <v>20696</v>
      </c>
      <c r="D13" s="14" t="s">
        <v>3</v>
      </c>
      <c r="E13" s="1"/>
      <c r="F13" s="1"/>
    </row>
    <row r="14" spans="1:6" x14ac:dyDescent="0.25">
      <c r="A14" s="1"/>
      <c r="B14" s="75" t="s">
        <v>235</v>
      </c>
      <c r="C14" s="9">
        <v>417022</v>
      </c>
      <c r="D14" s="14" t="s">
        <v>3</v>
      </c>
      <c r="E14" s="1"/>
      <c r="F14" s="1"/>
    </row>
    <row r="15" spans="1:6" x14ac:dyDescent="0.25">
      <c r="A15" s="1"/>
      <c r="B15" s="63" t="s">
        <v>182</v>
      </c>
      <c r="C15" s="12">
        <f>SUM(C10:C14)</f>
        <v>17658526</v>
      </c>
      <c r="D15" s="13" t="s">
        <v>3</v>
      </c>
      <c r="E15" s="1"/>
      <c r="F15" s="1"/>
    </row>
    <row r="16" spans="1:6" x14ac:dyDescent="0.25">
      <c r="A16" s="1"/>
      <c r="B16" s="63" t="s">
        <v>183</v>
      </c>
      <c r="C16" s="12">
        <f>C15*(1+'Fane 13. Nøgletal'!C15)^2</f>
        <v>18938192.760711361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aYGLP0bEbPuHuW2I1k0o5P0hZjJL+ZndvcOdau6/9RHU8cOOmxopTreR9cP9vKyB/iCwmx4LngC7PhYHLmtcZA==" saltValue="/xHyz9Tr3E3qhuAuIRunA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184</v>
      </c>
      <c r="C3" s="121"/>
      <c r="D3" s="121"/>
      <c r="E3" s="121"/>
      <c r="F3" s="121"/>
      <c r="G3" s="1"/>
    </row>
    <row r="4" spans="1:7" ht="15" customHeight="1" x14ac:dyDescent="0.25">
      <c r="A4" s="1"/>
      <c r="B4" s="121"/>
      <c r="C4" s="121"/>
      <c r="D4" s="121"/>
      <c r="E4" s="121"/>
      <c r="F4" s="121"/>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18" t="s">
        <v>155</v>
      </c>
      <c r="C8" s="119"/>
      <c r="D8" s="119"/>
      <c r="E8" s="119"/>
      <c r="F8" s="120"/>
      <c r="G8" s="1"/>
    </row>
    <row r="9" spans="1:7" x14ac:dyDescent="0.25">
      <c r="A9" s="1"/>
      <c r="B9" s="125" t="s">
        <v>156</v>
      </c>
      <c r="C9" s="126"/>
      <c r="D9" s="127"/>
      <c r="E9" s="9">
        <v>1192255</v>
      </c>
      <c r="F9" s="14" t="s">
        <v>3</v>
      </c>
      <c r="G9" s="1"/>
    </row>
    <row r="10" spans="1:7" x14ac:dyDescent="0.25">
      <c r="A10" s="1"/>
      <c r="B10" s="140" t="s">
        <v>236</v>
      </c>
      <c r="C10" s="141"/>
      <c r="D10" s="142"/>
      <c r="E10" s="9">
        <v>1192255</v>
      </c>
      <c r="F10" s="50" t="s">
        <v>3</v>
      </c>
      <c r="G10" s="1"/>
    </row>
    <row r="11" spans="1:7" x14ac:dyDescent="0.25">
      <c r="A11" s="1"/>
      <c r="B11" s="125" t="s">
        <v>185</v>
      </c>
      <c r="C11" s="126"/>
      <c r="D11" s="127"/>
      <c r="E11" s="9">
        <v>-4303649.9427955002</v>
      </c>
      <c r="F11" s="14" t="s">
        <v>3</v>
      </c>
      <c r="G11" s="1"/>
    </row>
    <row r="12" spans="1:7" x14ac:dyDescent="0.25">
      <c r="A12" s="1"/>
      <c r="B12" s="63"/>
      <c r="C12" s="64"/>
      <c r="D12" s="64"/>
      <c r="E12" s="64"/>
      <c r="F12" s="19"/>
      <c r="G12" s="1"/>
    </row>
    <row r="13" spans="1:7" ht="64.900000000000006" customHeight="1" x14ac:dyDescent="0.25">
      <c r="A13" s="1"/>
      <c r="B13" s="101" t="s">
        <v>253</v>
      </c>
      <c r="C13" s="102"/>
      <c r="D13" s="102"/>
      <c r="E13" s="102"/>
      <c r="F13" s="103"/>
      <c r="G13" s="1"/>
    </row>
    <row r="14" spans="1:7" ht="27" customHeight="1" x14ac:dyDescent="0.25">
      <c r="A14" s="1"/>
      <c r="B14" s="1"/>
      <c r="C14" s="1"/>
      <c r="D14" s="1"/>
      <c r="E14" s="1"/>
      <c r="F14" s="1"/>
      <c r="G14" s="1"/>
    </row>
    <row r="15" spans="1:7" ht="28.5" customHeight="1" x14ac:dyDescent="0.25">
      <c r="A15" s="1"/>
      <c r="B15" s="118" t="s">
        <v>157</v>
      </c>
      <c r="C15" s="119"/>
      <c r="D15" s="119"/>
      <c r="E15" s="119"/>
      <c r="F15" s="120"/>
      <c r="G15" s="1"/>
    </row>
    <row r="16" spans="1:7" x14ac:dyDescent="0.25">
      <c r="A16" s="1"/>
      <c r="B16" s="125" t="s">
        <v>237</v>
      </c>
      <c r="C16" s="126"/>
      <c r="D16" s="127"/>
      <c r="E16" s="9">
        <v>0</v>
      </c>
      <c r="F16" s="14" t="s">
        <v>3</v>
      </c>
      <c r="G16" s="1"/>
    </row>
    <row r="17" spans="1:7" x14ac:dyDescent="0.25">
      <c r="A17" s="1"/>
      <c r="B17" s="125" t="s">
        <v>238</v>
      </c>
      <c r="C17" s="126"/>
      <c r="D17" s="127"/>
      <c r="E17" s="9">
        <v>0</v>
      </c>
      <c r="F17" s="14" t="s">
        <v>3</v>
      </c>
      <c r="G17" s="1"/>
    </row>
    <row r="18" spans="1:7" x14ac:dyDescent="0.25">
      <c r="A18" s="1"/>
      <c r="B18" s="63"/>
      <c r="C18" s="64"/>
      <c r="D18" s="64"/>
      <c r="E18" s="64"/>
      <c r="F18" s="19"/>
      <c r="G18" s="1"/>
    </row>
    <row r="19" spans="1:7" ht="31.5" customHeight="1" x14ac:dyDescent="0.25">
      <c r="A19" s="1"/>
      <c r="B19" s="101" t="s">
        <v>158</v>
      </c>
      <c r="C19" s="102"/>
      <c r="D19" s="102"/>
      <c r="E19" s="102"/>
      <c r="F19" s="103"/>
      <c r="G19" s="1"/>
    </row>
    <row r="20" spans="1:7" ht="28.5" customHeight="1" x14ac:dyDescent="0.25">
      <c r="A20" s="1"/>
      <c r="B20" s="1"/>
      <c r="C20" s="1"/>
      <c r="D20" s="1"/>
      <c r="E20" s="1"/>
      <c r="F20" s="1"/>
      <c r="G20" s="1"/>
    </row>
    <row r="21" spans="1:7" ht="28.5" customHeight="1" x14ac:dyDescent="0.25">
      <c r="A21" s="1"/>
      <c r="B21" s="67" t="s">
        <v>186</v>
      </c>
      <c r="C21" s="68"/>
      <c r="D21" s="68"/>
      <c r="E21" s="68"/>
      <c r="F21" s="69"/>
      <c r="G21" s="1"/>
    </row>
    <row r="22" spans="1:7" x14ac:dyDescent="0.25">
      <c r="A22" s="1"/>
      <c r="B22" s="72" t="s">
        <v>239</v>
      </c>
      <c r="C22" s="73"/>
      <c r="D22" s="74"/>
      <c r="E22" s="9">
        <v>31393834.494795725</v>
      </c>
      <c r="F22" s="14" t="s">
        <v>3</v>
      </c>
      <c r="G22" s="1"/>
    </row>
    <row r="23" spans="1:7" x14ac:dyDescent="0.25">
      <c r="A23" s="1"/>
      <c r="B23" s="72" t="s">
        <v>187</v>
      </c>
      <c r="C23" s="73"/>
      <c r="D23" s="74"/>
      <c r="E23" s="9">
        <v>33069133</v>
      </c>
      <c r="F23" s="14" t="s">
        <v>3</v>
      </c>
      <c r="G23" s="1"/>
    </row>
    <row r="24" spans="1:7" x14ac:dyDescent="0.25">
      <c r="A24" s="1"/>
      <c r="B24" s="72" t="s">
        <v>31</v>
      </c>
      <c r="C24" s="73"/>
      <c r="D24" s="74"/>
      <c r="E24" s="9">
        <v>0</v>
      </c>
      <c r="F24" s="14" t="s">
        <v>3</v>
      </c>
      <c r="G24" s="1"/>
    </row>
    <row r="25" spans="1:7" x14ac:dyDescent="0.25">
      <c r="A25" s="1"/>
      <c r="B25" s="47" t="s">
        <v>254</v>
      </c>
      <c r="C25" s="48"/>
      <c r="D25" s="49"/>
      <c r="E25" s="53">
        <f>E22-(E23-E24)</f>
        <v>-1675298.5052042753</v>
      </c>
      <c r="F25" s="17" t="s">
        <v>3</v>
      </c>
      <c r="G25" s="1"/>
    </row>
    <row r="26" spans="1:7" x14ac:dyDescent="0.25">
      <c r="A26" s="1"/>
      <c r="B26" s="63"/>
      <c r="C26" s="64"/>
      <c r="D26" s="64"/>
      <c r="E26" s="64"/>
      <c r="F26" s="19"/>
      <c r="G26" s="1"/>
    </row>
    <row r="27" spans="1:7" x14ac:dyDescent="0.25">
      <c r="A27" s="1"/>
      <c r="B27" s="1"/>
      <c r="C27" s="1"/>
      <c r="D27" s="1"/>
      <c r="E27" s="1"/>
      <c r="F27" s="1"/>
      <c r="G27" s="1"/>
    </row>
    <row r="28" spans="1:7" ht="28.5" customHeight="1" x14ac:dyDescent="0.25">
      <c r="A28" s="1"/>
      <c r="B28" s="118" t="s">
        <v>240</v>
      </c>
      <c r="C28" s="119"/>
      <c r="D28" s="119"/>
      <c r="E28" s="119"/>
      <c r="F28" s="120"/>
      <c r="G28" s="1"/>
    </row>
    <row r="29" spans="1:7" x14ac:dyDescent="0.25">
      <c r="A29" s="1"/>
      <c r="B29" s="143" t="s">
        <v>128</v>
      </c>
      <c r="C29" s="144"/>
      <c r="D29" s="14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-1675298.5052042753</v>
      </c>
      <c r="F29" s="14" t="s">
        <v>3</v>
      </c>
      <c r="G29" s="1"/>
    </row>
    <row r="30" spans="1:7" x14ac:dyDescent="0.25">
      <c r="A30" s="1"/>
      <c r="B30" s="143" t="s">
        <v>93</v>
      </c>
      <c r="C30" s="144"/>
      <c r="D30" s="145"/>
      <c r="E30" s="9">
        <v>2</v>
      </c>
      <c r="F30" s="14" t="s">
        <v>18</v>
      </c>
      <c r="G30" s="1"/>
    </row>
    <row r="31" spans="1:7" x14ac:dyDescent="0.25">
      <c r="A31" s="1"/>
      <c r="B31" s="136" t="s">
        <v>127</v>
      </c>
      <c r="C31" s="136"/>
      <c r="D31" s="136"/>
      <c r="E31" s="10">
        <f>E29/E30</f>
        <v>-837649.25260213763</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F4ZvQ9CSVFlm02+46EE/zS48h9JHOpUBGEQ7zq6FYW5r0LAfg/3Lf5V8ISrLZeIRarwq1iCiKLpEu3JNWtX1Gw==" saltValue="G6NBLvpUq2qpWexqkEJA5g=="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226</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227</v>
      </c>
      <c r="C8" s="119"/>
      <c r="D8" s="119"/>
      <c r="E8" s="119"/>
      <c r="F8" s="119"/>
      <c r="G8" s="119"/>
      <c r="H8" s="120"/>
      <c r="I8" s="1"/>
    </row>
    <row r="9" spans="1:9" ht="15" customHeight="1" x14ac:dyDescent="0.25">
      <c r="A9" s="1"/>
      <c r="B9" s="110" t="s">
        <v>228</v>
      </c>
      <c r="C9" s="111"/>
      <c r="D9" s="111"/>
      <c r="E9" s="111"/>
      <c r="F9" s="111"/>
      <c r="G9" s="111"/>
      <c r="H9" s="112"/>
      <c r="I9" s="1"/>
    </row>
    <row r="10" spans="1:9" x14ac:dyDescent="0.25">
      <c r="A10" s="1"/>
      <c r="B10" s="146" t="s">
        <v>245</v>
      </c>
      <c r="C10" s="147"/>
      <c r="D10" s="147"/>
      <c r="E10" s="147"/>
      <c r="F10" s="148"/>
      <c r="G10" s="52">
        <v>0</v>
      </c>
      <c r="H10" s="9" t="s">
        <v>3</v>
      </c>
      <c r="I10" s="1"/>
    </row>
    <row r="11" spans="1:9" x14ac:dyDescent="0.25">
      <c r="A11" s="1"/>
      <c r="B11" s="146" t="s">
        <v>246</v>
      </c>
      <c r="C11" s="147"/>
      <c r="D11" s="147"/>
      <c r="E11" s="147"/>
      <c r="F11" s="148"/>
      <c r="G11" s="52">
        <v>0</v>
      </c>
      <c r="H11" s="9" t="s">
        <v>3</v>
      </c>
      <c r="I11" s="1"/>
    </row>
    <row r="12" spans="1:9" x14ac:dyDescent="0.25">
      <c r="A12" s="1"/>
      <c r="B12" s="146" t="s">
        <v>247</v>
      </c>
      <c r="C12" s="147"/>
      <c r="D12" s="147"/>
      <c r="E12" s="147"/>
      <c r="F12" s="148"/>
      <c r="G12" s="9">
        <v>0</v>
      </c>
      <c r="H12" s="9" t="s">
        <v>3</v>
      </c>
      <c r="I12" s="1"/>
    </row>
    <row r="13" spans="1:9" x14ac:dyDescent="0.25">
      <c r="A13" s="1"/>
      <c r="B13" s="146" t="s">
        <v>248</v>
      </c>
      <c r="C13" s="147"/>
      <c r="D13" s="147"/>
      <c r="E13" s="147"/>
      <c r="F13" s="148"/>
      <c r="G13" s="9">
        <v>0</v>
      </c>
      <c r="H13" s="9" t="s">
        <v>3</v>
      </c>
      <c r="I13" s="1"/>
    </row>
    <row r="14" spans="1:9" x14ac:dyDescent="0.25">
      <c r="A14" s="1"/>
      <c r="B14" s="146" t="s">
        <v>249</v>
      </c>
      <c r="C14" s="147"/>
      <c r="D14" s="147"/>
      <c r="E14" s="147"/>
      <c r="F14" s="148"/>
      <c r="G14" s="9">
        <v>0</v>
      </c>
      <c r="H14" s="9" t="s">
        <v>3</v>
      </c>
      <c r="I14" s="1"/>
    </row>
    <row r="15" spans="1:9" x14ac:dyDescent="0.25">
      <c r="A15" s="1"/>
      <c r="B15" s="146" t="s">
        <v>250</v>
      </c>
      <c r="C15" s="147"/>
      <c r="D15" s="147"/>
      <c r="E15" s="147"/>
      <c r="F15" s="148"/>
      <c r="G15" s="9">
        <v>0</v>
      </c>
      <c r="H15" s="9" t="s">
        <v>3</v>
      </c>
      <c r="I15" s="1"/>
    </row>
    <row r="16" spans="1:9" x14ac:dyDescent="0.25">
      <c r="A16" s="1"/>
      <c r="B16" s="146" t="s">
        <v>251</v>
      </c>
      <c r="C16" s="147"/>
      <c r="D16" s="147"/>
      <c r="E16" s="147"/>
      <c r="F16" s="148"/>
      <c r="G16" s="9">
        <v>0</v>
      </c>
      <c r="H16" s="9" t="s">
        <v>3</v>
      </c>
      <c r="I16" s="1"/>
    </row>
    <row r="17" spans="1:9" x14ac:dyDescent="0.25">
      <c r="A17" s="1"/>
      <c r="B17" s="146" t="s">
        <v>252</v>
      </c>
      <c r="C17" s="147"/>
      <c r="D17" s="147"/>
      <c r="E17" s="147"/>
      <c r="F17" s="148"/>
      <c r="G17" s="9">
        <v>0</v>
      </c>
      <c r="H17" s="9" t="s">
        <v>3</v>
      </c>
      <c r="I17" s="1"/>
    </row>
    <row r="18" spans="1:9" x14ac:dyDescent="0.25">
      <c r="A18" s="1"/>
      <c r="B18" s="118" t="s">
        <v>229</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f+jjd9O2rOMvBk9mAAVPPc0jbGmVMRYFK++yw7TVyfSAUfT8x844MhaISddDlddiNIN29r5icf7k2G9iKFV4FQ==" saltValue="zXBpXPgQfxa2Vzf7HtWYj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3" style="2" customWidth="1"/>
    <col min="3" max="3" width="7.28515625" style="2" customWidth="1"/>
    <col min="4" max="4" width="8.5703125" style="2" customWidth="1"/>
    <col min="5" max="5" width="2.7109375" style="2" customWidth="1"/>
    <col min="6" max="6" width="8.5703125" style="2" customWidth="1"/>
    <col min="7" max="7" width="2.7109375" style="2" customWidth="1"/>
    <col min="8" max="8" width="8.5703125" style="2" customWidth="1"/>
    <col min="9" max="9" width="2.7109375" style="2" customWidth="1"/>
    <col min="10" max="10" width="8.570312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220</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192</v>
      </c>
      <c r="C8" s="119"/>
      <c r="D8" s="119"/>
      <c r="E8" s="119"/>
      <c r="F8" s="119"/>
      <c r="G8" s="119"/>
      <c r="H8" s="119"/>
      <c r="I8" s="119"/>
      <c r="J8" s="119"/>
      <c r="K8" s="120"/>
      <c r="L8" s="1"/>
    </row>
    <row r="9" spans="1:12" ht="39.75" customHeight="1" x14ac:dyDescent="0.25">
      <c r="A9" s="1"/>
      <c r="B9" s="18" t="s">
        <v>0</v>
      </c>
      <c r="C9" s="18" t="s">
        <v>1</v>
      </c>
      <c r="D9" s="149" t="s">
        <v>213</v>
      </c>
      <c r="E9" s="150"/>
      <c r="F9" s="149" t="s">
        <v>2</v>
      </c>
      <c r="G9" s="150"/>
      <c r="H9" s="149" t="s">
        <v>214</v>
      </c>
      <c r="I9" s="150"/>
      <c r="J9" s="149" t="s">
        <v>28</v>
      </c>
      <c r="K9" s="150"/>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3" t="s">
        <v>193</v>
      </c>
      <c r="C11" s="64"/>
      <c r="D11" s="19"/>
      <c r="E11" s="69"/>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sLBS9KQJ8ylSDAuY0jzr5wWKOPEY7tpYgPtzUnJjVKe3iABWSHyPzjn1Iczsl6Yo2hWYiOuBa+ZQffMtdXVbKw==" saltValue="F/6rwL5xmXh2v/hiHQ6Cu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75</v>
      </c>
      <c r="C8" s="64"/>
      <c r="D8" s="64"/>
      <c r="E8" s="64"/>
      <c r="F8" s="19"/>
      <c r="G8" s="1"/>
    </row>
    <row r="9" spans="1:7" ht="17.25" customHeight="1" x14ac:dyDescent="0.25">
      <c r="A9" s="1"/>
      <c r="B9" s="61" t="s">
        <v>15</v>
      </c>
      <c r="C9" s="61" t="s">
        <v>10</v>
      </c>
      <c r="D9" s="62"/>
      <c r="E9" s="61"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0</v>
      </c>
      <c r="D11" s="14" t="s">
        <v>3</v>
      </c>
      <c r="E11" s="9">
        <v>0</v>
      </c>
      <c r="F11" s="14" t="s">
        <v>3</v>
      </c>
      <c r="G11" s="1"/>
    </row>
    <row r="12" spans="1:7" x14ac:dyDescent="0.25">
      <c r="A12" s="1"/>
      <c r="B12" s="63" t="s">
        <v>148</v>
      </c>
      <c r="C12" s="12">
        <f>SUM(C10:C11)</f>
        <v>0</v>
      </c>
      <c r="D12" s="13" t="s">
        <v>3</v>
      </c>
      <c r="E12" s="12">
        <f>SUM(E10:E11)</f>
        <v>0</v>
      </c>
      <c r="F12" s="13" t="s">
        <v>3</v>
      </c>
      <c r="G12" s="1"/>
    </row>
    <row r="13" spans="1:7" x14ac:dyDescent="0.25">
      <c r="A13" s="1"/>
      <c r="B13" s="63"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6dx6tQu1UHJK+FRc4M+9ivMlRGlmUyWpWvM1kheXpt/slgf1lBH66TYV1dE8e6uOMrd4DzJxSi0pjVSsoihnQ==" saltValue="Bl0RjPTKYE0skjjS+TvCz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222</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8" t="s">
        <v>88</v>
      </c>
      <c r="C9" s="119"/>
      <c r="D9" s="119"/>
      <c r="E9" s="119"/>
      <c r="F9" s="120"/>
      <c r="G9" s="1"/>
    </row>
    <row r="10" spans="1:7" ht="26.25" x14ac:dyDescent="0.25">
      <c r="A10" s="1"/>
      <c r="B10" s="61" t="s">
        <v>15</v>
      </c>
      <c r="C10" s="61" t="s">
        <v>10</v>
      </c>
      <c r="D10" s="62"/>
      <c r="E10" s="61" t="s">
        <v>29</v>
      </c>
      <c r="F10" s="66"/>
      <c r="G10" s="1"/>
    </row>
    <row r="11" spans="1:7" x14ac:dyDescent="0.25">
      <c r="A11" s="1"/>
      <c r="B11" s="22" t="s">
        <v>242</v>
      </c>
      <c r="C11" s="21">
        <v>0</v>
      </c>
      <c r="D11" s="14" t="s">
        <v>3</v>
      </c>
      <c r="E11" s="9">
        <v>0</v>
      </c>
      <c r="F11" s="14" t="s">
        <v>3</v>
      </c>
      <c r="G11" s="1"/>
    </row>
    <row r="12" spans="1:7" x14ac:dyDescent="0.25">
      <c r="A12" s="1"/>
      <c r="B12" s="63" t="s">
        <v>195</v>
      </c>
      <c r="C12" s="12">
        <f>SUM(C11:C11)</f>
        <v>0</v>
      </c>
      <c r="D12" s="13" t="s">
        <v>3</v>
      </c>
      <c r="E12" s="12">
        <f>SUM(E11:E11)</f>
        <v>0</v>
      </c>
      <c r="F12" s="13" t="s">
        <v>3</v>
      </c>
      <c r="G12" s="1"/>
    </row>
    <row r="13" spans="1:7" x14ac:dyDescent="0.25">
      <c r="A13" s="1"/>
      <c r="B13" s="63"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YmUBWw1tJtdJ8UWY0ep6TmUopSQhMbbmNlvLZpNNGlRNwU9oDmAV7MlonR2WZBRWEdTptANRwzZILTIlqkbf0Q==" saltValue="30w5cSJ10CJr7MMGRkQAe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223</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65" t="s">
        <v>113</v>
      </c>
      <c r="C9" s="110" t="s">
        <v>10</v>
      </c>
      <c r="D9" s="112"/>
      <c r="E9" s="110" t="s">
        <v>29</v>
      </c>
      <c r="F9" s="112"/>
      <c r="G9" s="1"/>
    </row>
    <row r="10" spans="1:7" x14ac:dyDescent="0.25">
      <c r="A10" s="1"/>
      <c r="B10" s="22" t="s">
        <v>243</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3BGPWupXqoG7vEQOL4/jb/xeOK0vidUH6Iz1/eKAfSZJ1zhmFFpUz1BfGOf75pWXefc5HYZxRMIV1FqNft/yKw==" saltValue="qrVzGU7usRyVQL+7JnvFO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224</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8" t="s">
        <v>85</v>
      </c>
      <c r="C10" s="119"/>
      <c r="D10" s="119"/>
      <c r="E10" s="119"/>
      <c r="F10" s="120"/>
      <c r="G10" s="1"/>
    </row>
    <row r="11" spans="1:7" ht="26.25" x14ac:dyDescent="0.25">
      <c r="A11" s="1"/>
      <c r="B11" s="65" t="s">
        <v>16</v>
      </c>
      <c r="C11" s="65" t="s">
        <v>10</v>
      </c>
      <c r="D11" s="66"/>
      <c r="E11" s="65" t="s">
        <v>29</v>
      </c>
      <c r="F11" s="66"/>
      <c r="G11" s="1"/>
    </row>
    <row r="12" spans="1:7" x14ac:dyDescent="0.25">
      <c r="A12" s="1"/>
      <c r="B12" s="22" t="s">
        <v>244</v>
      </c>
      <c r="C12" s="9">
        <v>0</v>
      </c>
      <c r="D12" s="14" t="s">
        <v>3</v>
      </c>
      <c r="E12" s="9">
        <v>0</v>
      </c>
      <c r="F12" s="14" t="s">
        <v>3</v>
      </c>
      <c r="G12" s="1"/>
    </row>
    <row r="13" spans="1:7" x14ac:dyDescent="0.25">
      <c r="A13" s="1"/>
      <c r="B13" s="63" t="s">
        <v>196</v>
      </c>
      <c r="C13" s="12">
        <f>SUM(C12:C12)</f>
        <v>0</v>
      </c>
      <c r="D13" s="13" t="s">
        <v>3</v>
      </c>
      <c r="E13" s="12">
        <f>SUM(E12:E12)</f>
        <v>0</v>
      </c>
      <c r="F13" s="13" t="s">
        <v>3</v>
      </c>
      <c r="G13" s="1"/>
    </row>
    <row r="14" spans="1:7" x14ac:dyDescent="0.25">
      <c r="A14" s="1"/>
      <c r="B14" s="63"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cLhCPSnYMQYzVzTxauU2Eul/P2s3w5sz61K6VP+sepdvQ6SeRHXkV3NqK2P66eSTXWwE4ajRmrb0YBQ/6R+x/g==" saltValue="4fV4WLz3l0iomjX0KDwoc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21" t="s">
        <v>225</v>
      </c>
      <c r="C3" s="121"/>
      <c r="D3" s="1"/>
    </row>
    <row r="4" spans="1:4" ht="25.5" customHeight="1" x14ac:dyDescent="0.25">
      <c r="A4" s="1"/>
      <c r="B4" s="121"/>
      <c r="C4" s="121"/>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3"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18"/>
      <c r="C16" s="120"/>
      <c r="D16" s="1"/>
    </row>
    <row r="17" spans="1:4" x14ac:dyDescent="0.25">
      <c r="A17" s="1"/>
      <c r="B17" s="1"/>
      <c r="C17" s="40"/>
      <c r="D17" s="1"/>
    </row>
    <row r="18" spans="1:4" x14ac:dyDescent="0.25">
      <c r="A18" s="1"/>
      <c r="B18" s="1"/>
      <c r="C18" s="40"/>
      <c r="D18" s="1"/>
    </row>
    <row r="19" spans="1:4" x14ac:dyDescent="0.25">
      <c r="A19" s="1"/>
      <c r="B19" s="63"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3"/>
      <c r="C27" s="41"/>
      <c r="D27" s="1"/>
    </row>
    <row r="28" spans="1:4" x14ac:dyDescent="0.25">
      <c r="A28" s="1"/>
      <c r="B28" s="1"/>
      <c r="C28" s="40"/>
      <c r="D28" s="1"/>
    </row>
    <row r="29" spans="1:4" x14ac:dyDescent="0.25">
      <c r="A29" s="1"/>
      <c r="B29" s="1"/>
      <c r="C29" s="40"/>
      <c r="D29" s="1"/>
    </row>
    <row r="30" spans="1:4" x14ac:dyDescent="0.25">
      <c r="A30" s="1"/>
      <c r="B30" s="63" t="s">
        <v>90</v>
      </c>
      <c r="C30" s="41"/>
      <c r="D30" s="1"/>
    </row>
    <row r="31" spans="1:4" x14ac:dyDescent="0.25">
      <c r="A31" s="1"/>
      <c r="B31" s="75" t="s">
        <v>107</v>
      </c>
      <c r="C31" s="42">
        <v>0.02</v>
      </c>
      <c r="D31" s="1"/>
    </row>
    <row r="32" spans="1:4" x14ac:dyDescent="0.25">
      <c r="A32" s="1"/>
      <c r="B32" s="63"/>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jbhUt643Uu3YOsM2oiWbAI1mnMbDanxfaOrNcKAFLb9js8GgzF0kw4VftbFFbdva11aUq4+NbT3Nnbs3DwbFow==" saltValue="k/3q0Tz1xrXpHmoRkLytK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3" t="s">
        <v>12</v>
      </c>
      <c r="C7" s="64"/>
      <c r="D7" s="19"/>
      <c r="E7" s="1"/>
    </row>
    <row r="8" spans="1:5" x14ac:dyDescent="0.25">
      <c r="A8" s="1"/>
      <c r="B8" s="71" t="s">
        <v>116</v>
      </c>
      <c r="C8" s="7">
        <f>'Fane 3. Omkostninger i ØR2022'!E20</f>
        <v>12357115.763341384</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439913.32117495325</v>
      </c>
      <c r="D15" s="8" t="s">
        <v>3</v>
      </c>
      <c r="E15" s="1"/>
    </row>
    <row r="16" spans="1:5" ht="17.25" customHeight="1" x14ac:dyDescent="0.25">
      <c r="A16" s="1"/>
      <c r="B16" s="23" t="s">
        <v>9</v>
      </c>
      <c r="C16" s="9">
        <f>-SUM(C8,C9:C15)*'Fane 5. Individuelt eff. krav'!G9</f>
        <v>-36681.536806770891</v>
      </c>
      <c r="D16" s="8" t="s">
        <v>3</v>
      </c>
      <c r="E16" s="1"/>
    </row>
    <row r="17" spans="1:5" ht="17.25" customHeight="1" x14ac:dyDescent="0.25">
      <c r="A17" s="1"/>
      <c r="B17" s="23" t="s">
        <v>23</v>
      </c>
      <c r="C17" s="9">
        <f>-'Fane 4.1. Gen. krav - drift'!G43</f>
        <v>-168910.10445357685</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12591437.443255989</v>
      </c>
      <c r="D19" s="11" t="s">
        <v>3</v>
      </c>
      <c r="E19" s="1"/>
    </row>
    <row r="20" spans="1:5" ht="15" customHeight="1" x14ac:dyDescent="0.25">
      <c r="A20" s="1"/>
      <c r="B20" s="63" t="s">
        <v>11</v>
      </c>
      <c r="C20" s="64"/>
      <c r="D20" s="19"/>
      <c r="E20" s="1"/>
    </row>
    <row r="21" spans="1:5" ht="15" customHeight="1" x14ac:dyDescent="0.25">
      <c r="A21" s="1"/>
      <c r="B21" s="65" t="s">
        <v>11</v>
      </c>
      <c r="C21" s="10">
        <f>'Fane 6. Ikke-påvirkelige omk.'!C16</f>
        <v>18938192.760711361</v>
      </c>
      <c r="D21" s="11" t="s">
        <v>3</v>
      </c>
      <c r="E21" s="1"/>
    </row>
    <row r="22" spans="1:5" ht="15" customHeight="1" x14ac:dyDescent="0.25">
      <c r="A22" s="1"/>
      <c r="B22" s="63" t="s">
        <v>80</v>
      </c>
      <c r="C22" s="64"/>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4"/>
      <c r="D28" s="19"/>
      <c r="E28" s="1"/>
    </row>
    <row r="29" spans="1:5" x14ac:dyDescent="0.25">
      <c r="A29" s="1"/>
      <c r="B29" s="76" t="s">
        <v>129</v>
      </c>
      <c r="C29" s="10">
        <f>'Fane 7. Kontrol af ØR2021'!E31</f>
        <v>-837649.25260213763</v>
      </c>
      <c r="D29" s="11" t="s">
        <v>3</v>
      </c>
      <c r="E29" s="1"/>
    </row>
    <row r="30" spans="1:5" x14ac:dyDescent="0.25">
      <c r="A30" s="1"/>
      <c r="B30" s="25" t="s">
        <v>153</v>
      </c>
      <c r="C30" s="64"/>
      <c r="D30" s="19"/>
      <c r="E30" s="1"/>
    </row>
    <row r="31" spans="1:5" x14ac:dyDescent="0.25">
      <c r="A31" s="1"/>
      <c r="B31" s="76" t="s">
        <v>154</v>
      </c>
      <c r="C31" s="10">
        <f>'Fane 8. Skattesagen'!G12</f>
        <v>0</v>
      </c>
      <c r="D31" s="11" t="s">
        <v>3</v>
      </c>
      <c r="E31" s="1"/>
    </row>
    <row r="32" spans="1:5" x14ac:dyDescent="0.25">
      <c r="A32" s="1"/>
      <c r="B32" s="63" t="s">
        <v>84</v>
      </c>
      <c r="C32" s="34">
        <f>SUM(C19,C21,C27,C29,C31)</f>
        <v>30691980.95136521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R0AWmqSOjUlGSX7yNx9wUxM0jKLQvatAxjWhXOYEeEnOhGBTuSjGYReXndAQGx57wkaxVDj+Au+OY/gx2svycA==" saltValue="VbOuU6OPKDYxYa7JW0yOr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117</v>
      </c>
      <c r="C8" s="7">
        <f>'Fane 2.1. Økonomisk ramme 2023'!C19</f>
        <v>12591437.443255989</v>
      </c>
      <c r="D8" s="8" t="s">
        <v>3</v>
      </c>
      <c r="E8" s="1"/>
    </row>
    <row r="9" spans="1:5" ht="15" customHeight="1" x14ac:dyDescent="0.25">
      <c r="A9" s="1"/>
      <c r="B9" s="60" t="s">
        <v>17</v>
      </c>
      <c r="C9" s="9">
        <f>SUM(C8:C8)*'Fane 13. Nøgletal'!C15</f>
        <v>448255.17297991319</v>
      </c>
      <c r="D9" s="8" t="s">
        <v>3</v>
      </c>
      <c r="E9" s="1"/>
    </row>
    <row r="10" spans="1:5" ht="15" customHeight="1" x14ac:dyDescent="0.25">
      <c r="A10" s="1"/>
      <c r="B10" s="60" t="s">
        <v>9</v>
      </c>
      <c r="C10" s="9">
        <f>-SUM(C8:C9)*'Fane 5. Individuelt eff. krav'!G9</f>
        <v>-37377.110069255876</v>
      </c>
      <c r="D10" s="8" t="s">
        <v>3</v>
      </c>
      <c r="E10" s="1"/>
    </row>
    <row r="11" spans="1:5" ht="15" customHeight="1" x14ac:dyDescent="0.25">
      <c r="A11" s="1"/>
      <c r="B11" s="60" t="s">
        <v>23</v>
      </c>
      <c r="C11" s="9">
        <f>-'Fane 4.1. Gen. krav - drift'!G48</f>
        <v>-171424.83808868169</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12830890.668077964</v>
      </c>
      <c r="D13" s="11" t="s">
        <v>3</v>
      </c>
      <c r="E13" s="1"/>
    </row>
    <row r="14" spans="1:5" x14ac:dyDescent="0.25">
      <c r="A14" s="1"/>
      <c r="B14" s="63" t="s">
        <v>11</v>
      </c>
      <c r="C14" s="64"/>
      <c r="D14" s="19"/>
      <c r="E14" s="1"/>
    </row>
    <row r="15" spans="1:5" ht="15" customHeight="1" x14ac:dyDescent="0.25">
      <c r="A15" s="1"/>
      <c r="B15" s="65" t="s">
        <v>11</v>
      </c>
      <c r="C15" s="10">
        <f>'Fane 6. Ikke-påvirkelige omk.'!C16*(1+'Fane 13. Nøgletal'!C15)</f>
        <v>19612392.422992688</v>
      </c>
      <c r="D15" s="11" t="s">
        <v>3</v>
      </c>
      <c r="E15" s="1"/>
    </row>
    <row r="16" spans="1:5" x14ac:dyDescent="0.25">
      <c r="A16" s="1"/>
      <c r="B16" s="25" t="s">
        <v>128</v>
      </c>
      <c r="C16" s="64"/>
      <c r="D16" s="19"/>
      <c r="E16" s="1"/>
    </row>
    <row r="17" spans="1:5" ht="15" customHeight="1" x14ac:dyDescent="0.25">
      <c r="A17" s="1"/>
      <c r="B17" s="76" t="s">
        <v>129</v>
      </c>
      <c r="C17" s="10">
        <f>'Fane 7. Kontrol af ØR2021'!E31</f>
        <v>-837649.25260213763</v>
      </c>
      <c r="D17" s="11" t="s">
        <v>3</v>
      </c>
      <c r="E17" s="1"/>
    </row>
    <row r="18" spans="1:5" x14ac:dyDescent="0.25">
      <c r="A18" s="1"/>
      <c r="B18" s="25" t="s">
        <v>153</v>
      </c>
      <c r="C18" s="64"/>
      <c r="D18" s="19"/>
      <c r="E18" s="1"/>
    </row>
    <row r="19" spans="1:5" x14ac:dyDescent="0.25">
      <c r="A19" s="1"/>
      <c r="B19" s="76" t="s">
        <v>154</v>
      </c>
      <c r="C19" s="10">
        <f>'Fane 8. Skattesagen'!G13</f>
        <v>0</v>
      </c>
      <c r="D19" s="11" t="s">
        <v>3</v>
      </c>
      <c r="E19" s="1"/>
    </row>
    <row r="20" spans="1:5" x14ac:dyDescent="0.25">
      <c r="A20" s="1"/>
      <c r="B20" s="63" t="s">
        <v>138</v>
      </c>
      <c r="C20" s="12">
        <f>SUM(C13,C15,C17,C19)</f>
        <v>31605633.838468514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nmh2ZUIeDIWxwPHQfDibrw5Ns2vnvMd8FJyo0MOZgBNQkQIVPntjk8MckQXfWYPvgHqbXbijyVcHLNPTNjEuWQ==" saltValue="Rzqh3apl5ERIGIKevT2OG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139</v>
      </c>
      <c r="C8" s="7">
        <f>'Fane 2.2. Økonomisk ramme 2024'!C13</f>
        <v>12830890.668077964</v>
      </c>
      <c r="D8" s="8" t="s">
        <v>3</v>
      </c>
      <c r="E8" s="1"/>
    </row>
    <row r="9" spans="1:5" ht="15" customHeight="1" x14ac:dyDescent="0.25">
      <c r="A9" s="1"/>
      <c r="B9" s="60" t="s">
        <v>17</v>
      </c>
      <c r="C9" s="9">
        <f>SUM(C8:C8)*'Fane 13. Nøgletal'!C15</f>
        <v>456779.70778357552</v>
      </c>
      <c r="D9" s="8" t="s">
        <v>3</v>
      </c>
      <c r="E9" s="1"/>
    </row>
    <row r="10" spans="1:5" ht="15" customHeight="1" x14ac:dyDescent="0.25">
      <c r="A10" s="1"/>
      <c r="B10" s="60" t="s">
        <v>9</v>
      </c>
      <c r="C10" s="9">
        <f>-SUM(C8:C9)*'Fane 5. Individuelt eff. krav'!G9</f>
        <v>-38087.916089691847</v>
      </c>
      <c r="D10" s="8" t="s">
        <v>3</v>
      </c>
      <c r="E10" s="1"/>
    </row>
    <row r="11" spans="1:5" ht="15" customHeight="1" x14ac:dyDescent="0.25">
      <c r="A11" s="1"/>
      <c r="B11" s="60" t="s">
        <v>23</v>
      </c>
      <c r="C11" s="9">
        <f>-'Fane 4.1. Gen. krav - drift'!G53</f>
        <v>-173977.011078146</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13075605.448693704</v>
      </c>
      <c r="D13" s="11" t="s">
        <v>3</v>
      </c>
      <c r="E13" s="1"/>
    </row>
    <row r="14" spans="1:5" x14ac:dyDescent="0.25">
      <c r="A14" s="1"/>
      <c r="B14" s="63" t="s">
        <v>11</v>
      </c>
      <c r="C14" s="64"/>
      <c r="D14" s="19"/>
      <c r="E14" s="1"/>
    </row>
    <row r="15" spans="1:5" ht="15" customHeight="1" x14ac:dyDescent="0.25">
      <c r="A15" s="1"/>
      <c r="B15" s="65" t="s">
        <v>11</v>
      </c>
      <c r="C15" s="10">
        <f>'Fane 6. Ikke-påvirkelige omk.'!C16*(1+'Fane 13. Nøgletal'!C15)^2</f>
        <v>20310593.593251228</v>
      </c>
      <c r="D15" s="11" t="s">
        <v>3</v>
      </c>
      <c r="E15" s="1"/>
    </row>
    <row r="16" spans="1:5" x14ac:dyDescent="0.25">
      <c r="A16" s="1"/>
      <c r="B16" s="63" t="s">
        <v>128</v>
      </c>
      <c r="C16" s="64"/>
      <c r="D16" s="19"/>
      <c r="E16" s="1"/>
    </row>
    <row r="17" spans="1:5" x14ac:dyDescent="0.25">
      <c r="A17" s="1"/>
      <c r="B17" s="65" t="s">
        <v>129</v>
      </c>
      <c r="C17" s="10">
        <v>0</v>
      </c>
      <c r="D17" s="11" t="s">
        <v>3</v>
      </c>
      <c r="E17" s="1"/>
    </row>
    <row r="18" spans="1:5" ht="15" customHeight="1" x14ac:dyDescent="0.25">
      <c r="A18" s="1"/>
      <c r="B18" s="25" t="s">
        <v>153</v>
      </c>
      <c r="C18" s="64"/>
      <c r="D18" s="19"/>
      <c r="E18" s="1"/>
    </row>
    <row r="19" spans="1:5" ht="15" customHeight="1" x14ac:dyDescent="0.25">
      <c r="A19" s="1"/>
      <c r="B19" s="76" t="s">
        <v>154</v>
      </c>
      <c r="C19" s="10">
        <f>'Fane 8. Skattesagen'!G14</f>
        <v>0</v>
      </c>
      <c r="D19" s="11" t="s">
        <v>3</v>
      </c>
      <c r="E19" s="1"/>
    </row>
    <row r="20" spans="1:5" x14ac:dyDescent="0.25">
      <c r="A20" s="1"/>
      <c r="B20" s="63" t="s">
        <v>140</v>
      </c>
      <c r="C20" s="12">
        <f>SUM(C13,C15,C17,C19)</f>
        <v>33386199.041944932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UUbrkrvBZbMY4sPoJTML+gYvWplcIZs0WcCwnnD6BSuwOY5lEvpANIEe9NMeKW86rnTM2le8bSApSWV8CwKd8w==" saltValue="pDbZWqsEkm7PRGGU8acOw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168</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169</v>
      </c>
      <c r="C8" s="7">
        <f>'Fane 2.3. Økonomisk ramme 2025'!C13</f>
        <v>13075605.448693704</v>
      </c>
      <c r="D8" s="8" t="s">
        <v>3</v>
      </c>
      <c r="E8" s="1"/>
    </row>
    <row r="9" spans="1:5" ht="15" customHeight="1" x14ac:dyDescent="0.25">
      <c r="A9" s="1"/>
      <c r="B9" s="60" t="s">
        <v>17</v>
      </c>
      <c r="C9" s="9">
        <f>SUM(C8:C8)*'Fane 13. Nøgletal'!C15</f>
        <v>465491.55397349584</v>
      </c>
      <c r="D9" s="8" t="s">
        <v>3</v>
      </c>
      <c r="E9" s="1"/>
    </row>
    <row r="10" spans="1:5" ht="15" customHeight="1" x14ac:dyDescent="0.25">
      <c r="A10" s="1"/>
      <c r="B10" s="60" t="s">
        <v>9</v>
      </c>
      <c r="C10" s="9">
        <f>-SUM(C8:C9)*'Fane 5. Individuelt eff. krav'!G9</f>
        <v>-38814.34079948916</v>
      </c>
      <c r="D10" s="8" t="s">
        <v>3</v>
      </c>
      <c r="E10" s="1"/>
    </row>
    <row r="11" spans="1:5" ht="15" customHeight="1" x14ac:dyDescent="0.25">
      <c r="A11" s="1"/>
      <c r="B11" s="60" t="s">
        <v>23</v>
      </c>
      <c r="C11" s="9">
        <f>-'Fane 4.1. Gen. krav - drift'!G58</f>
        <v>-176567.18081907745</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13325715.481048632</v>
      </c>
      <c r="D13" s="11" t="s">
        <v>3</v>
      </c>
      <c r="E13" s="1"/>
    </row>
    <row r="14" spans="1:5" x14ac:dyDescent="0.25">
      <c r="A14" s="1"/>
      <c r="B14" s="63" t="s">
        <v>11</v>
      </c>
      <c r="C14" s="64"/>
      <c r="D14" s="19"/>
      <c r="E14" s="1"/>
    </row>
    <row r="15" spans="1:5" ht="15" customHeight="1" x14ac:dyDescent="0.25">
      <c r="A15" s="1"/>
      <c r="B15" s="65" t="s">
        <v>11</v>
      </c>
      <c r="C15" s="10">
        <f>'Fane 6. Ikke-påvirkelige omk.'!C16*(1+'Fane 13. Nøgletal'!C15)^3</f>
        <v>21033650.725170974</v>
      </c>
      <c r="D15" s="11" t="s">
        <v>3</v>
      </c>
      <c r="E15" s="1"/>
    </row>
    <row r="16" spans="1:5" x14ac:dyDescent="0.25">
      <c r="A16" s="1"/>
      <c r="B16" s="63" t="s">
        <v>128</v>
      </c>
      <c r="C16" s="64"/>
      <c r="D16" s="19"/>
      <c r="E16" s="1"/>
    </row>
    <row r="17" spans="1:5" x14ac:dyDescent="0.25">
      <c r="A17" s="1"/>
      <c r="B17" s="65" t="s">
        <v>129</v>
      </c>
      <c r="C17" s="10">
        <v>0</v>
      </c>
      <c r="D17" s="11" t="s">
        <v>3</v>
      </c>
      <c r="E17" s="1"/>
    </row>
    <row r="18" spans="1:5" x14ac:dyDescent="0.25">
      <c r="A18" s="1"/>
      <c r="B18" s="25" t="s">
        <v>153</v>
      </c>
      <c r="C18" s="64"/>
      <c r="D18" s="19"/>
      <c r="E18" s="1"/>
    </row>
    <row r="19" spans="1:5" x14ac:dyDescent="0.25">
      <c r="A19" s="1"/>
      <c r="B19" s="76" t="s">
        <v>154</v>
      </c>
      <c r="C19" s="10">
        <f>'Fane 8. Skattesagen'!G15</f>
        <v>0</v>
      </c>
      <c r="D19" s="11" t="s">
        <v>3</v>
      </c>
      <c r="E19" s="1"/>
    </row>
    <row r="20" spans="1:5" x14ac:dyDescent="0.25">
      <c r="A20" s="1"/>
      <c r="B20" s="63" t="s">
        <v>170</v>
      </c>
      <c r="C20" s="12">
        <f>SUM(C13,C15,C17,C19)</f>
        <v>34359366.206219606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lCp6hPt3Dfpt+BUGFm3HSci3K7QeaP4iVhAlr2PJiLl1QSd9OJVeuOejkvB0rbVmMY0uQkYNnerZVdbCVds+fQ==" saltValue="I+tW2XiKOV/ZbiMIkDdSu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171</v>
      </c>
      <c r="C3" s="121"/>
      <c r="D3" s="121"/>
      <c r="E3" s="121"/>
      <c r="F3" s="121"/>
      <c r="G3" s="1"/>
    </row>
    <row r="4" spans="1:7" ht="29.2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172</v>
      </c>
      <c r="C8" s="64"/>
      <c r="D8" s="64"/>
      <c r="E8" s="64"/>
      <c r="F8" s="19"/>
      <c r="G8" s="1"/>
    </row>
    <row r="9" spans="1:7" x14ac:dyDescent="0.25">
      <c r="A9" s="1"/>
      <c r="B9" s="122" t="s">
        <v>22</v>
      </c>
      <c r="C9" s="123"/>
      <c r="D9" s="124"/>
      <c r="E9" s="7">
        <v>12720873.506677926</v>
      </c>
      <c r="F9" s="8" t="s">
        <v>3</v>
      </c>
      <c r="G9" s="1"/>
    </row>
    <row r="10" spans="1:7" ht="15" customHeight="1" x14ac:dyDescent="0.25">
      <c r="A10" s="1"/>
      <c r="B10" s="104" t="s">
        <v>35</v>
      </c>
      <c r="C10" s="105"/>
      <c r="D10" s="106"/>
      <c r="E10" s="9">
        <v>0</v>
      </c>
      <c r="F10" s="8" t="s">
        <v>3</v>
      </c>
      <c r="G10" s="1"/>
    </row>
    <row r="11" spans="1:7" ht="15" customHeight="1" x14ac:dyDescent="0.25">
      <c r="A11" s="1"/>
      <c r="B11" s="104" t="s">
        <v>36</v>
      </c>
      <c r="C11" s="105"/>
      <c r="D11" s="106"/>
      <c r="E11" s="9">
        <v>0</v>
      </c>
      <c r="F11" s="8" t="s">
        <v>3</v>
      </c>
      <c r="G11" s="1"/>
    </row>
    <row r="12" spans="1:7" x14ac:dyDescent="0.25">
      <c r="A12" s="1"/>
      <c r="B12" s="104" t="s">
        <v>26</v>
      </c>
      <c r="C12" s="105"/>
      <c r="D12" s="106"/>
      <c r="E12" s="9">
        <v>0</v>
      </c>
      <c r="F12" s="8" t="s">
        <v>3</v>
      </c>
      <c r="G12" s="1"/>
    </row>
    <row r="13" spans="1:7" x14ac:dyDescent="0.25">
      <c r="A13" s="1"/>
      <c r="B13" s="104" t="s">
        <v>25</v>
      </c>
      <c r="C13" s="105"/>
      <c r="D13" s="106"/>
      <c r="E13" s="9">
        <v>0</v>
      </c>
      <c r="F13" s="8" t="s">
        <v>3</v>
      </c>
      <c r="G13" s="1"/>
    </row>
    <row r="14" spans="1:7" x14ac:dyDescent="0.25">
      <c r="A14" s="1"/>
      <c r="B14" s="104" t="s">
        <v>114</v>
      </c>
      <c r="C14" s="105"/>
      <c r="D14" s="106"/>
      <c r="E14" s="9">
        <v>0</v>
      </c>
      <c r="F14" s="8" t="s">
        <v>3</v>
      </c>
      <c r="G14" s="1"/>
    </row>
    <row r="15" spans="1:7" x14ac:dyDescent="0.25">
      <c r="A15" s="1"/>
      <c r="B15" s="104" t="s">
        <v>115</v>
      </c>
      <c r="C15" s="105"/>
      <c r="D15" s="106"/>
      <c r="E15" s="9">
        <v>0</v>
      </c>
      <c r="F15" s="8" t="s">
        <v>3</v>
      </c>
      <c r="G15" s="1"/>
    </row>
    <row r="16" spans="1:7" x14ac:dyDescent="0.25">
      <c r="A16" s="1"/>
      <c r="B16" s="104" t="s">
        <v>17</v>
      </c>
      <c r="C16" s="105"/>
      <c r="D16" s="106"/>
      <c r="E16" s="9">
        <v>155194.65678147072</v>
      </c>
      <c r="F16" s="8" t="s">
        <v>3</v>
      </c>
      <c r="G16" s="30"/>
    </row>
    <row r="17" spans="1:7" x14ac:dyDescent="0.25">
      <c r="A17" s="1"/>
      <c r="B17" s="104" t="s">
        <v>9</v>
      </c>
      <c r="C17" s="105"/>
      <c r="D17" s="106"/>
      <c r="E17" s="9">
        <v>-202113.9244926305</v>
      </c>
      <c r="F17" s="8" t="s">
        <v>3</v>
      </c>
      <c r="G17" s="1"/>
    </row>
    <row r="18" spans="1:7" x14ac:dyDescent="0.25">
      <c r="A18" s="1"/>
      <c r="B18" s="104" t="s">
        <v>23</v>
      </c>
      <c r="C18" s="105"/>
      <c r="D18" s="106"/>
      <c r="E18" s="9">
        <v>-166432.26095251576</v>
      </c>
      <c r="F18" s="8" t="s">
        <v>3</v>
      </c>
      <c r="G18" s="1"/>
    </row>
    <row r="19" spans="1:7" x14ac:dyDescent="0.25">
      <c r="A19" s="1"/>
      <c r="B19" s="104" t="s">
        <v>24</v>
      </c>
      <c r="C19" s="105"/>
      <c r="D19" s="106"/>
      <c r="E19" s="9">
        <v>-150406.21467286607</v>
      </c>
      <c r="F19" s="8" t="s">
        <v>3</v>
      </c>
      <c r="G19" s="1"/>
    </row>
    <row r="20" spans="1:7" x14ac:dyDescent="0.25">
      <c r="A20" s="1"/>
      <c r="B20" s="107" t="s">
        <v>19</v>
      </c>
      <c r="C20" s="108"/>
      <c r="D20" s="109"/>
      <c r="E20" s="31">
        <f>SUM(E9:E19)</f>
        <v>12357115.763341384</v>
      </c>
      <c r="F20" s="33" t="s">
        <v>3</v>
      </c>
      <c r="G20" s="1"/>
    </row>
    <row r="21" spans="1:7" x14ac:dyDescent="0.25">
      <c r="A21" s="1"/>
      <c r="B21" s="63" t="s">
        <v>11</v>
      </c>
      <c r="C21" s="64"/>
      <c r="D21" s="64"/>
      <c r="E21" s="64"/>
      <c r="F21" s="19"/>
      <c r="G21" s="1"/>
    </row>
    <row r="22" spans="1:7" x14ac:dyDescent="0.25">
      <c r="A22" s="1"/>
      <c r="B22" s="115" t="s">
        <v>11</v>
      </c>
      <c r="C22" s="116"/>
      <c r="D22" s="117"/>
      <c r="E22" s="10">
        <v>17918515.368704043</v>
      </c>
      <c r="F22" s="11" t="s">
        <v>3</v>
      </c>
      <c r="G22" s="1"/>
    </row>
    <row r="23" spans="1:7" ht="15" customHeight="1" x14ac:dyDescent="0.25">
      <c r="A23" s="1"/>
      <c r="B23" s="113" t="s">
        <v>80</v>
      </c>
      <c r="C23" s="114"/>
      <c r="D23" s="114"/>
      <c r="E23" s="64"/>
      <c r="F23" s="64"/>
      <c r="G23" s="1"/>
    </row>
    <row r="24" spans="1:7" ht="14.25" customHeight="1" x14ac:dyDescent="0.25">
      <c r="A24" s="1"/>
      <c r="B24" s="101" t="s">
        <v>76</v>
      </c>
      <c r="C24" s="102"/>
      <c r="D24" s="103"/>
      <c r="E24" s="9">
        <v>0</v>
      </c>
      <c r="F24" s="8" t="s">
        <v>3</v>
      </c>
      <c r="G24" s="1"/>
    </row>
    <row r="25" spans="1:7" ht="14.25" customHeight="1" x14ac:dyDescent="0.25">
      <c r="A25" s="1"/>
      <c r="B25" s="101" t="s">
        <v>77</v>
      </c>
      <c r="C25" s="102"/>
      <c r="D25" s="103"/>
      <c r="E25" s="9">
        <v>0</v>
      </c>
      <c r="F25" s="8" t="s">
        <v>3</v>
      </c>
      <c r="G25" s="1"/>
    </row>
    <row r="26" spans="1:7" x14ac:dyDescent="0.25">
      <c r="A26" s="1"/>
      <c r="B26" s="110" t="s">
        <v>81</v>
      </c>
      <c r="C26" s="111"/>
      <c r="D26" s="111"/>
      <c r="E26" s="10">
        <v>0</v>
      </c>
      <c r="F26" s="11" t="s">
        <v>3</v>
      </c>
      <c r="G26" s="1"/>
    </row>
    <row r="27" spans="1:7" x14ac:dyDescent="0.25">
      <c r="A27" s="1"/>
      <c r="B27" s="63" t="s">
        <v>128</v>
      </c>
      <c r="C27" s="64"/>
      <c r="D27" s="64"/>
      <c r="E27" s="64"/>
      <c r="F27" s="19"/>
      <c r="G27" s="1"/>
    </row>
    <row r="28" spans="1:7" ht="15" customHeight="1" x14ac:dyDescent="0.25">
      <c r="A28" s="1"/>
      <c r="B28" s="110" t="s">
        <v>129</v>
      </c>
      <c r="C28" s="111"/>
      <c r="D28" s="112"/>
      <c r="E28" s="10">
        <v>0</v>
      </c>
      <c r="F28" s="11" t="s">
        <v>3</v>
      </c>
      <c r="G28" s="1"/>
    </row>
    <row r="29" spans="1:7" x14ac:dyDescent="0.25">
      <c r="A29" s="1"/>
      <c r="B29" s="63" t="s">
        <v>159</v>
      </c>
      <c r="C29" s="64"/>
      <c r="D29" s="64"/>
      <c r="E29" s="64"/>
      <c r="F29" s="19"/>
      <c r="G29" s="1"/>
    </row>
    <row r="30" spans="1:7" ht="15.75" customHeight="1" x14ac:dyDescent="0.25">
      <c r="A30" s="1"/>
      <c r="B30" s="115" t="s">
        <v>160</v>
      </c>
      <c r="C30" s="116"/>
      <c r="D30" s="117"/>
      <c r="E30" s="10">
        <v>0</v>
      </c>
      <c r="F30" s="11" t="s">
        <v>3</v>
      </c>
      <c r="G30" s="1"/>
    </row>
    <row r="31" spans="1:7" ht="15.75" customHeight="1" x14ac:dyDescent="0.25">
      <c r="A31" s="1"/>
      <c r="B31" s="118" t="s">
        <v>153</v>
      </c>
      <c r="C31" s="119"/>
      <c r="D31" s="119"/>
      <c r="E31" s="119"/>
      <c r="F31" s="120"/>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30275631.132045425</v>
      </c>
      <c r="F33" s="13" t="s">
        <v>3</v>
      </c>
      <c r="G33" s="1"/>
    </row>
    <row r="34" spans="1:7" ht="27.75" customHeight="1" x14ac:dyDescent="0.25">
      <c r="A34" s="1"/>
      <c r="B34" s="101" t="s">
        <v>173</v>
      </c>
      <c r="C34" s="102"/>
      <c r="D34" s="102"/>
      <c r="E34" s="102"/>
      <c r="F34" s="10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rEI2/rm2OeIx0inLsuqf6Q/J93/DU2hdDSqFoOxuRZcenVo7gde0lZmbr5vFYqQgS4adY1FqkdwJaYIA2Ecw==" saltValue="aWxaUB4MRUykhzQY1zwCCQ=="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21" t="s">
        <v>98</v>
      </c>
      <c r="C1" s="121"/>
      <c r="D1" s="121"/>
      <c r="E1" s="121"/>
      <c r="F1" s="121"/>
      <c r="G1" s="121"/>
      <c r="H1" s="121"/>
      <c r="I1" s="1"/>
    </row>
    <row r="2" spans="1:9" ht="15" customHeight="1" x14ac:dyDescent="0.25">
      <c r="A2" s="1"/>
      <c r="B2" s="121"/>
      <c r="C2" s="121"/>
      <c r="D2" s="121"/>
      <c r="E2" s="121"/>
      <c r="F2" s="121"/>
      <c r="G2" s="121"/>
      <c r="H2" s="121"/>
      <c r="I2" s="1"/>
    </row>
    <row r="3" spans="1:9" ht="15" customHeight="1" x14ac:dyDescent="0.25">
      <c r="A3" s="1"/>
      <c r="B3" s="121"/>
      <c r="C3" s="121"/>
      <c r="D3" s="121"/>
      <c r="E3" s="121"/>
      <c r="F3" s="121"/>
      <c r="G3" s="121"/>
      <c r="H3" s="121"/>
      <c r="I3" s="1"/>
    </row>
    <row r="4" spans="1:9" x14ac:dyDescent="0.25">
      <c r="A4" s="1"/>
      <c r="B4" s="118" t="s">
        <v>49</v>
      </c>
      <c r="C4" s="119"/>
      <c r="D4" s="119"/>
      <c r="E4" s="119"/>
      <c r="F4" s="119"/>
      <c r="G4" s="119"/>
      <c r="H4" s="120"/>
      <c r="I4" s="1"/>
    </row>
    <row r="5" spans="1:9" x14ac:dyDescent="0.25">
      <c r="A5" s="1"/>
      <c r="B5" s="125" t="s">
        <v>38</v>
      </c>
      <c r="C5" s="126"/>
      <c r="D5" s="126"/>
      <c r="E5" s="126"/>
      <c r="F5" s="127"/>
      <c r="G5" s="54">
        <v>8580392.7710526492</v>
      </c>
      <c r="H5" s="14" t="s">
        <v>3</v>
      </c>
      <c r="I5" s="1"/>
    </row>
    <row r="6" spans="1:9" x14ac:dyDescent="0.25">
      <c r="A6" s="1"/>
      <c r="B6" s="125" t="s">
        <v>39</v>
      </c>
      <c r="C6" s="126"/>
      <c r="D6" s="126"/>
      <c r="E6" s="126"/>
      <c r="F6" s="127"/>
      <c r="G6" s="54">
        <f>G5*'Fane 13. Nøgletal'!C31</f>
        <v>171607.85542105298</v>
      </c>
      <c r="H6" s="14" t="s">
        <v>3</v>
      </c>
      <c r="I6" s="1"/>
    </row>
    <row r="7" spans="1:9" x14ac:dyDescent="0.25">
      <c r="A7" s="1"/>
      <c r="B7" s="63"/>
      <c r="C7" s="64"/>
      <c r="D7" s="64"/>
      <c r="E7" s="64"/>
      <c r="F7" s="64"/>
      <c r="G7" s="55"/>
      <c r="H7" s="19"/>
      <c r="I7" s="1"/>
    </row>
    <row r="8" spans="1:9" x14ac:dyDescent="0.25">
      <c r="A8" s="1"/>
      <c r="B8" s="1"/>
      <c r="C8" s="1"/>
      <c r="D8" s="1"/>
      <c r="E8" s="1"/>
      <c r="F8" s="1"/>
      <c r="G8" s="56"/>
      <c r="H8" s="1"/>
      <c r="I8" s="1"/>
    </row>
    <row r="9" spans="1:9" x14ac:dyDescent="0.25">
      <c r="A9" s="1"/>
      <c r="B9" s="118" t="s">
        <v>50</v>
      </c>
      <c r="C9" s="119"/>
      <c r="D9" s="119"/>
      <c r="E9" s="119"/>
      <c r="F9" s="119"/>
      <c r="G9" s="131"/>
      <c r="H9" s="120"/>
      <c r="I9" s="1"/>
    </row>
    <row r="10" spans="1:9" x14ac:dyDescent="0.25">
      <c r="A10" s="1"/>
      <c r="B10" s="125" t="s">
        <v>40</v>
      </c>
      <c r="C10" s="126"/>
      <c r="D10" s="126"/>
      <c r="E10" s="126"/>
      <c r="F10" s="127"/>
      <c r="G10" s="54">
        <f>(G5-G6)*(1+'Fane 13. Nøgletal'!C9)</f>
        <v>8515576.4840601161</v>
      </c>
      <c r="H10" s="14" t="s">
        <v>3</v>
      </c>
      <c r="I10" s="1"/>
    </row>
    <row r="11" spans="1:9" x14ac:dyDescent="0.25">
      <c r="A11" s="1"/>
      <c r="B11" s="128" t="s">
        <v>41</v>
      </c>
      <c r="C11" s="129"/>
      <c r="D11" s="129"/>
      <c r="E11" s="129"/>
      <c r="F11" s="130"/>
      <c r="G11" s="54">
        <v>0</v>
      </c>
      <c r="H11" s="14" t="s">
        <v>3</v>
      </c>
      <c r="I11" s="1"/>
    </row>
    <row r="12" spans="1:9" x14ac:dyDescent="0.25">
      <c r="A12" s="1"/>
      <c r="B12" s="125" t="s">
        <v>42</v>
      </c>
      <c r="C12" s="126"/>
      <c r="D12" s="126"/>
      <c r="E12" s="126"/>
      <c r="F12" s="127"/>
      <c r="G12" s="54">
        <f>(G10+G11)*'Fane 13. Nøgletal'!C31</f>
        <v>170311.52968120232</v>
      </c>
      <c r="H12" s="14" t="s">
        <v>3</v>
      </c>
      <c r="I12" s="1"/>
    </row>
    <row r="13" spans="1:9" x14ac:dyDescent="0.25">
      <c r="A13" s="1"/>
      <c r="B13" s="63"/>
      <c r="C13" s="64"/>
      <c r="D13" s="64"/>
      <c r="E13" s="64"/>
      <c r="F13" s="64"/>
      <c r="G13" s="55"/>
      <c r="H13" s="19"/>
      <c r="I13" s="1"/>
    </row>
    <row r="14" spans="1:9" x14ac:dyDescent="0.25">
      <c r="A14" s="1"/>
      <c r="B14" s="1"/>
      <c r="C14" s="1"/>
      <c r="D14" s="1"/>
      <c r="E14" s="1"/>
      <c r="F14" s="1"/>
      <c r="G14" s="56"/>
      <c r="H14" s="1"/>
      <c r="I14" s="1"/>
    </row>
    <row r="15" spans="1:9" x14ac:dyDescent="0.25">
      <c r="A15" s="1"/>
      <c r="B15" s="118" t="s">
        <v>51</v>
      </c>
      <c r="C15" s="119"/>
      <c r="D15" s="119"/>
      <c r="E15" s="119"/>
      <c r="F15" s="119"/>
      <c r="G15" s="131"/>
      <c r="H15" s="120"/>
      <c r="I15" s="1"/>
    </row>
    <row r="16" spans="1:9" x14ac:dyDescent="0.25">
      <c r="A16" s="1"/>
      <c r="B16" s="125" t="s">
        <v>43</v>
      </c>
      <c r="C16" s="126"/>
      <c r="D16" s="126"/>
      <c r="E16" s="126"/>
      <c r="F16" s="127"/>
      <c r="G16" s="54">
        <f>(G10+G11-G12)*(1+'Fane 13. Nøgletal'!C11)</f>
        <v>8486299.9321079161</v>
      </c>
      <c r="H16" s="14" t="s">
        <v>3</v>
      </c>
      <c r="I16" s="1"/>
    </row>
    <row r="17" spans="1:9" x14ac:dyDescent="0.25">
      <c r="A17" s="1"/>
      <c r="B17" s="125" t="s">
        <v>108</v>
      </c>
      <c r="C17" s="126"/>
      <c r="D17" s="126"/>
      <c r="E17" s="126"/>
      <c r="F17" s="127"/>
      <c r="G17" s="54">
        <v>0</v>
      </c>
      <c r="H17" s="14" t="s">
        <v>3</v>
      </c>
      <c r="I17" s="1"/>
    </row>
    <row r="18" spans="1:9" x14ac:dyDescent="0.25">
      <c r="A18" s="1"/>
      <c r="B18" s="128" t="s">
        <v>44</v>
      </c>
      <c r="C18" s="129"/>
      <c r="D18" s="129"/>
      <c r="E18" s="129"/>
      <c r="F18" s="130"/>
      <c r="G18" s="54">
        <v>0</v>
      </c>
      <c r="H18" s="14" t="s">
        <v>3</v>
      </c>
      <c r="I18" s="1"/>
    </row>
    <row r="19" spans="1:9" x14ac:dyDescent="0.25">
      <c r="A19" s="1"/>
      <c r="B19" s="125" t="s">
        <v>45</v>
      </c>
      <c r="C19" s="126"/>
      <c r="D19" s="126"/>
      <c r="E19" s="126"/>
      <c r="F19" s="127"/>
      <c r="G19" s="54">
        <f>SUM(G16:G18)*'Fane 13. Nøgletal'!C31</f>
        <v>169725.99864215832</v>
      </c>
      <c r="H19" s="14" t="s">
        <v>3</v>
      </c>
      <c r="I19" s="1"/>
    </row>
    <row r="20" spans="1:9" x14ac:dyDescent="0.25">
      <c r="A20" s="1"/>
      <c r="B20" s="63"/>
      <c r="C20" s="64"/>
      <c r="D20" s="64"/>
      <c r="E20" s="64"/>
      <c r="F20" s="64"/>
      <c r="G20" s="55"/>
      <c r="H20" s="19"/>
      <c r="I20" s="1"/>
    </row>
    <row r="21" spans="1:9" x14ac:dyDescent="0.25">
      <c r="A21" s="1"/>
      <c r="B21" s="1"/>
      <c r="C21" s="1"/>
      <c r="D21" s="1"/>
      <c r="E21" s="1"/>
      <c r="F21" s="1"/>
      <c r="G21" s="56"/>
      <c r="H21" s="1"/>
      <c r="I21" s="1"/>
    </row>
    <row r="22" spans="1:9" x14ac:dyDescent="0.25">
      <c r="A22" s="1"/>
      <c r="B22" s="118" t="s">
        <v>52</v>
      </c>
      <c r="C22" s="119"/>
      <c r="D22" s="119"/>
      <c r="E22" s="119"/>
      <c r="F22" s="119"/>
      <c r="G22" s="131"/>
      <c r="H22" s="120"/>
      <c r="I22" s="1"/>
    </row>
    <row r="23" spans="1:9" x14ac:dyDescent="0.25">
      <c r="A23" s="1"/>
      <c r="B23" s="125" t="s">
        <v>46</v>
      </c>
      <c r="C23" s="126"/>
      <c r="D23" s="126"/>
      <c r="E23" s="126"/>
      <c r="F23" s="127"/>
      <c r="G23" s="54">
        <f>(SUM(G16:G18)-G19)*(1+'Fane 13. Nøgletal'!C11)</f>
        <v>8457124.0329413284</v>
      </c>
      <c r="H23" s="14" t="s">
        <v>3</v>
      </c>
      <c r="I23" s="1"/>
    </row>
    <row r="24" spans="1:9" x14ac:dyDescent="0.25">
      <c r="A24" s="1"/>
      <c r="B24" s="128" t="s">
        <v>47</v>
      </c>
      <c r="C24" s="129"/>
      <c r="D24" s="129"/>
      <c r="E24" s="129"/>
      <c r="F24" s="130"/>
      <c r="G24" s="54">
        <v>0</v>
      </c>
      <c r="H24" s="14" t="s">
        <v>3</v>
      </c>
      <c r="I24" s="1"/>
    </row>
    <row r="25" spans="1:9" x14ac:dyDescent="0.25">
      <c r="A25" s="1"/>
      <c r="B25" s="125" t="s">
        <v>48</v>
      </c>
      <c r="C25" s="126"/>
      <c r="D25" s="126"/>
      <c r="E25" s="126"/>
      <c r="F25" s="127"/>
      <c r="G25" s="54">
        <f>(G23+G24)*'Fane 13. Nøgletal'!C31</f>
        <v>169142.48065882656</v>
      </c>
      <c r="H25" s="14" t="s">
        <v>3</v>
      </c>
      <c r="I25" s="1"/>
    </row>
    <row r="26" spans="1:9" x14ac:dyDescent="0.25">
      <c r="A26" s="1"/>
      <c r="B26" s="63"/>
      <c r="C26" s="64"/>
      <c r="D26" s="64"/>
      <c r="E26" s="64"/>
      <c r="F26" s="64"/>
      <c r="G26" s="55"/>
      <c r="H26" s="19"/>
      <c r="I26" s="1"/>
    </row>
    <row r="27" spans="1:9" x14ac:dyDescent="0.25">
      <c r="A27" s="1"/>
      <c r="B27" s="1"/>
      <c r="C27" s="1"/>
      <c r="D27" s="1"/>
      <c r="E27" s="1"/>
      <c r="F27" s="1"/>
      <c r="G27" s="56"/>
      <c r="H27" s="1"/>
      <c r="I27" s="1"/>
    </row>
    <row r="28" spans="1:9" x14ac:dyDescent="0.25">
      <c r="A28" s="1"/>
      <c r="B28" s="118" t="s">
        <v>132</v>
      </c>
      <c r="C28" s="119"/>
      <c r="D28" s="119"/>
      <c r="E28" s="119"/>
      <c r="F28" s="119"/>
      <c r="G28" s="131"/>
      <c r="H28" s="120"/>
      <c r="I28" s="1"/>
    </row>
    <row r="29" spans="1:9" x14ac:dyDescent="0.25">
      <c r="A29" s="1"/>
      <c r="B29" s="125" t="s">
        <v>55</v>
      </c>
      <c r="C29" s="126"/>
      <c r="D29" s="126"/>
      <c r="E29" s="126"/>
      <c r="F29" s="127"/>
      <c r="G29" s="54">
        <f>(G23+G24-G25)*(1+'Fane 13. Nøgletal'!C13)</f>
        <v>8389094.9272203483</v>
      </c>
      <c r="H29" s="14" t="s">
        <v>3</v>
      </c>
      <c r="I29" s="1"/>
    </row>
    <row r="30" spans="1:9" x14ac:dyDescent="0.25">
      <c r="A30" s="1"/>
      <c r="B30" s="125" t="s">
        <v>121</v>
      </c>
      <c r="C30" s="126"/>
      <c r="D30" s="126"/>
      <c r="E30" s="126"/>
      <c r="F30" s="127"/>
      <c r="G30" s="54">
        <v>0</v>
      </c>
      <c r="H30" s="14" t="s">
        <v>3</v>
      </c>
      <c r="I30" s="1"/>
    </row>
    <row r="31" spans="1:9" x14ac:dyDescent="0.25">
      <c r="A31" s="1"/>
      <c r="B31" s="125" t="s">
        <v>126</v>
      </c>
      <c r="C31" s="126"/>
      <c r="D31" s="126"/>
      <c r="E31" s="126"/>
      <c r="F31" s="127"/>
      <c r="G31" s="54">
        <f>(G29+G30)*'Fane 13. Nøgletal'!C31</f>
        <v>167781.89854440695</v>
      </c>
      <c r="H31" s="14" t="s">
        <v>3</v>
      </c>
      <c r="I31" s="1"/>
    </row>
    <row r="32" spans="1:9" x14ac:dyDescent="0.25">
      <c r="A32" s="1"/>
      <c r="B32" s="63"/>
      <c r="C32" s="64"/>
      <c r="D32" s="64"/>
      <c r="E32" s="64"/>
      <c r="F32" s="64"/>
      <c r="G32" s="55"/>
      <c r="H32" s="19"/>
      <c r="I32" s="1"/>
    </row>
    <row r="33" spans="1:9" x14ac:dyDescent="0.25">
      <c r="A33" s="1"/>
      <c r="B33" s="1"/>
      <c r="C33" s="1"/>
      <c r="D33" s="1"/>
      <c r="E33" s="1"/>
      <c r="F33" s="1"/>
      <c r="G33" s="56"/>
      <c r="H33" s="1"/>
      <c r="I33" s="1"/>
    </row>
    <row r="34" spans="1:9" x14ac:dyDescent="0.25">
      <c r="A34" s="1"/>
      <c r="B34" s="118" t="s">
        <v>133</v>
      </c>
      <c r="C34" s="119"/>
      <c r="D34" s="119"/>
      <c r="E34" s="119"/>
      <c r="F34" s="119"/>
      <c r="G34" s="131"/>
      <c r="H34" s="120"/>
      <c r="I34" s="1"/>
    </row>
    <row r="35" spans="1:9" x14ac:dyDescent="0.25">
      <c r="A35" s="1"/>
      <c r="B35" s="125" t="s">
        <v>74</v>
      </c>
      <c r="C35" s="126"/>
      <c r="D35" s="126"/>
      <c r="E35" s="126"/>
      <c r="F35" s="127"/>
      <c r="G35" s="54">
        <f>(G29+G30-G31)*(1+'Fane 13. Nøgletal'!C13)</f>
        <v>8321613.0476257885</v>
      </c>
      <c r="H35" s="14" t="s">
        <v>3</v>
      </c>
      <c r="I35" s="1"/>
    </row>
    <row r="36" spans="1:9" x14ac:dyDescent="0.25">
      <c r="A36" s="1"/>
      <c r="B36" s="125" t="s">
        <v>152</v>
      </c>
      <c r="C36" s="126"/>
      <c r="D36" s="126"/>
      <c r="E36" s="126"/>
      <c r="F36" s="127"/>
      <c r="G36" s="54">
        <f>('Fane 3. Omkostninger i ØR2022'!E10+'Fane 3. Omkostninger i ØR2022'!E12+'Fane 3. Omkostninger i ØR2022'!E14)*(1+'Fane 13. Nøgletal'!C14)</f>
        <v>0</v>
      </c>
      <c r="H36" s="14" t="s">
        <v>3</v>
      </c>
      <c r="I36" s="1"/>
    </row>
    <row r="37" spans="1:9" x14ac:dyDescent="0.25">
      <c r="A37" s="1"/>
      <c r="B37" s="125" t="s">
        <v>134</v>
      </c>
      <c r="C37" s="126"/>
      <c r="D37" s="126"/>
      <c r="E37" s="126"/>
      <c r="F37" s="127"/>
      <c r="G37" s="54">
        <f>(G35+G36)*'Fane 13. Nøgletal'!C31</f>
        <v>166432.26095251576</v>
      </c>
      <c r="H37" s="14" t="s">
        <v>3</v>
      </c>
      <c r="I37" s="1"/>
    </row>
    <row r="38" spans="1:9" x14ac:dyDescent="0.25">
      <c r="A38" s="1"/>
      <c r="B38" s="63"/>
      <c r="C38" s="64"/>
      <c r="D38" s="64"/>
      <c r="E38" s="64"/>
      <c r="F38" s="64"/>
      <c r="G38" s="55"/>
      <c r="H38" s="19"/>
      <c r="I38" s="1"/>
    </row>
    <row r="39" spans="1:9" x14ac:dyDescent="0.25">
      <c r="A39" s="1"/>
      <c r="B39" s="1"/>
      <c r="C39" s="1"/>
      <c r="D39" s="1"/>
      <c r="E39" s="1"/>
      <c r="F39" s="1"/>
      <c r="G39" s="56"/>
      <c r="H39" s="1"/>
      <c r="I39" s="1"/>
    </row>
    <row r="40" spans="1:9" x14ac:dyDescent="0.25">
      <c r="A40" s="1"/>
      <c r="B40" s="118" t="s">
        <v>198</v>
      </c>
      <c r="C40" s="119"/>
      <c r="D40" s="119"/>
      <c r="E40" s="119"/>
      <c r="F40" s="119"/>
      <c r="G40" s="131"/>
      <c r="H40" s="120"/>
      <c r="I40" s="1"/>
    </row>
    <row r="41" spans="1:9" x14ac:dyDescent="0.25">
      <c r="A41" s="1"/>
      <c r="B41" s="125" t="s">
        <v>73</v>
      </c>
      <c r="C41" s="126"/>
      <c r="D41" s="126"/>
      <c r="E41" s="126"/>
      <c r="F41" s="127"/>
      <c r="G41" s="54">
        <f>(G35+G36-G37)*(1+'Fane 13. Nøgletal'!C15)</f>
        <v>8445505.222678842</v>
      </c>
      <c r="H41" s="14" t="s">
        <v>3</v>
      </c>
      <c r="I41" s="1"/>
    </row>
    <row r="42" spans="1:9" x14ac:dyDescent="0.25">
      <c r="A42" s="1"/>
      <c r="B42" s="125" t="s">
        <v>197</v>
      </c>
      <c r="C42" s="126"/>
      <c r="D42" s="126"/>
      <c r="E42" s="126"/>
      <c r="F42" s="127"/>
      <c r="G42" s="54">
        <f>('Fane 2.1. Økonomisk ramme 2023'!C9+'Fane 2.1. Økonomisk ramme 2023'!C11+'Fane 2.1. Økonomisk ramme 2023'!C13)*(1+'Fane 13. Nøgletal'!C15)</f>
        <v>0</v>
      </c>
      <c r="H42" s="14" t="s">
        <v>3</v>
      </c>
      <c r="I42" s="1"/>
    </row>
    <row r="43" spans="1:9" x14ac:dyDescent="0.25">
      <c r="A43" s="1"/>
      <c r="B43" s="125" t="s">
        <v>208</v>
      </c>
      <c r="C43" s="126"/>
      <c r="D43" s="126"/>
      <c r="E43" s="126"/>
      <c r="F43" s="127"/>
      <c r="G43" s="54">
        <f>(G41+G42)*'Fane 13. Nøgletal'!C31</f>
        <v>168910.10445357685</v>
      </c>
      <c r="H43" s="14" t="s">
        <v>3</v>
      </c>
      <c r="I43" s="1"/>
    </row>
    <row r="44" spans="1:9" x14ac:dyDescent="0.25">
      <c r="A44" s="1"/>
      <c r="B44" s="63"/>
      <c r="C44" s="64"/>
      <c r="D44" s="64"/>
      <c r="E44" s="64"/>
      <c r="F44" s="64"/>
      <c r="G44" s="55"/>
      <c r="H44" s="19"/>
      <c r="I44" s="1"/>
    </row>
    <row r="45" spans="1:9" x14ac:dyDescent="0.25">
      <c r="A45" s="1"/>
      <c r="B45" s="1"/>
      <c r="C45" s="1"/>
      <c r="D45" s="1"/>
      <c r="E45" s="1"/>
      <c r="F45" s="1"/>
      <c r="G45" s="56"/>
      <c r="H45" s="1"/>
      <c r="I45" s="1"/>
    </row>
    <row r="46" spans="1:9" x14ac:dyDescent="0.25">
      <c r="A46" s="1"/>
      <c r="B46" s="118" t="s">
        <v>199</v>
      </c>
      <c r="C46" s="119"/>
      <c r="D46" s="119"/>
      <c r="E46" s="119"/>
      <c r="F46" s="119"/>
      <c r="G46" s="131"/>
      <c r="H46" s="120"/>
      <c r="I46" s="1"/>
    </row>
    <row r="47" spans="1:9" x14ac:dyDescent="0.25">
      <c r="A47" s="1"/>
      <c r="B47" s="125" t="s">
        <v>122</v>
      </c>
      <c r="C47" s="126"/>
      <c r="D47" s="126"/>
      <c r="E47" s="126"/>
      <c r="F47" s="127"/>
      <c r="G47" s="54">
        <f>(G41+G42-G43)*(1+'Fane 13. Nøgletal'!C15)</f>
        <v>8571241.9044340849</v>
      </c>
      <c r="H47" s="14" t="s">
        <v>3</v>
      </c>
      <c r="I47" s="1"/>
    </row>
    <row r="48" spans="1:9" x14ac:dyDescent="0.25">
      <c r="A48" s="1"/>
      <c r="B48" s="125" t="s">
        <v>209</v>
      </c>
      <c r="C48" s="126"/>
      <c r="D48" s="126"/>
      <c r="E48" s="126"/>
      <c r="F48" s="127"/>
      <c r="G48" s="54">
        <f>(G47)*'Fane 13. Nøgletal'!C31</f>
        <v>171424.83808868169</v>
      </c>
      <c r="H48" s="14" t="s">
        <v>3</v>
      </c>
      <c r="I48" s="1"/>
    </row>
    <row r="49" spans="1:9" x14ac:dyDescent="0.25">
      <c r="A49" s="1"/>
      <c r="B49" s="63"/>
      <c r="C49" s="64"/>
      <c r="D49" s="64"/>
      <c r="E49" s="64"/>
      <c r="F49" s="64"/>
      <c r="G49" s="55"/>
      <c r="H49" s="19"/>
      <c r="I49" s="1"/>
    </row>
    <row r="50" spans="1:9" x14ac:dyDescent="0.25">
      <c r="A50" s="1"/>
      <c r="B50" s="1"/>
      <c r="C50" s="1"/>
      <c r="D50" s="1"/>
      <c r="E50" s="1"/>
      <c r="F50" s="1"/>
      <c r="G50" s="56"/>
      <c r="H50" s="1"/>
      <c r="I50" s="1"/>
    </row>
    <row r="51" spans="1:9" x14ac:dyDescent="0.25">
      <c r="A51" s="1"/>
      <c r="B51" s="118" t="s">
        <v>145</v>
      </c>
      <c r="C51" s="119"/>
      <c r="D51" s="119"/>
      <c r="E51" s="119"/>
      <c r="F51" s="119"/>
      <c r="G51" s="131"/>
      <c r="H51" s="120"/>
      <c r="I51" s="1"/>
    </row>
    <row r="52" spans="1:9" x14ac:dyDescent="0.25">
      <c r="A52" s="1"/>
      <c r="B52" s="125" t="s">
        <v>146</v>
      </c>
      <c r="C52" s="126"/>
      <c r="D52" s="126"/>
      <c r="E52" s="126"/>
      <c r="F52" s="127"/>
      <c r="G52" s="54">
        <f>(G47-G48)*(1+'Fane 13. Nøgletal'!C15)</f>
        <v>8698850.5539072994</v>
      </c>
      <c r="H52" s="14" t="s">
        <v>3</v>
      </c>
      <c r="I52" s="1"/>
    </row>
    <row r="53" spans="1:9" x14ac:dyDescent="0.25">
      <c r="A53" s="1"/>
      <c r="B53" s="125" t="s">
        <v>147</v>
      </c>
      <c r="C53" s="126"/>
      <c r="D53" s="126"/>
      <c r="E53" s="126"/>
      <c r="F53" s="127"/>
      <c r="G53" s="54">
        <f>(G52)*'Fane 13. Nøgletal'!C31</f>
        <v>173977.011078146</v>
      </c>
      <c r="H53" s="14" t="s">
        <v>3</v>
      </c>
      <c r="I53" s="1"/>
    </row>
    <row r="54" spans="1:9" x14ac:dyDescent="0.25">
      <c r="A54" s="1"/>
      <c r="B54" s="63"/>
      <c r="C54" s="64"/>
      <c r="D54" s="64"/>
      <c r="E54" s="64"/>
      <c r="F54" s="64"/>
      <c r="G54" s="55"/>
      <c r="H54" s="19"/>
      <c r="I54" s="1"/>
    </row>
    <row r="55" spans="1:9" x14ac:dyDescent="0.25">
      <c r="A55" s="1"/>
      <c r="B55" s="1"/>
      <c r="C55" s="1"/>
      <c r="D55" s="1"/>
      <c r="E55" s="1"/>
      <c r="F55" s="1"/>
      <c r="G55" s="56"/>
      <c r="H55" s="1"/>
      <c r="I55" s="1"/>
    </row>
    <row r="56" spans="1:9" x14ac:dyDescent="0.25">
      <c r="A56" s="1"/>
      <c r="B56" s="118" t="s">
        <v>174</v>
      </c>
      <c r="C56" s="119"/>
      <c r="D56" s="119"/>
      <c r="E56" s="119"/>
      <c r="F56" s="119"/>
      <c r="G56" s="131"/>
      <c r="H56" s="120"/>
      <c r="I56" s="1"/>
    </row>
    <row r="57" spans="1:9" x14ac:dyDescent="0.25">
      <c r="A57" s="1"/>
      <c r="B57" s="125" t="s">
        <v>175</v>
      </c>
      <c r="C57" s="126"/>
      <c r="D57" s="126"/>
      <c r="E57" s="126"/>
      <c r="F57" s="127"/>
      <c r="G57" s="54">
        <f>(G52-G53)*(1+'Fane 13. Nøgletal'!C15)</f>
        <v>8828359.0409538727</v>
      </c>
      <c r="H57" s="14" t="s">
        <v>3</v>
      </c>
      <c r="I57" s="1"/>
    </row>
    <row r="58" spans="1:9" x14ac:dyDescent="0.25">
      <c r="A58" s="1"/>
      <c r="B58" s="125" t="s">
        <v>176</v>
      </c>
      <c r="C58" s="126"/>
      <c r="D58" s="126"/>
      <c r="E58" s="126"/>
      <c r="F58" s="127"/>
      <c r="G58" s="54">
        <f>(G57)*'Fane 13. Nøgletal'!C31</f>
        <v>176567.18081907745</v>
      </c>
      <c r="H58" s="14" t="s">
        <v>3</v>
      </c>
      <c r="I58" s="1"/>
    </row>
    <row r="59" spans="1:9" x14ac:dyDescent="0.25">
      <c r="A59" s="1"/>
      <c r="B59" s="63"/>
      <c r="C59" s="64"/>
      <c r="D59" s="64"/>
      <c r="E59" s="64"/>
      <c r="F59" s="64"/>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eOggqVbFeByrWejIx2GPW9ku/g+U5UW6C+PBrTWBA5rW5oXcxhMy1LHTOWWkP5nEyiFF/zb3HaX54Lzjztr/uA==" saltValue="l+TGu2q3AG2F9B999q0VUg=="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28515625" style="2" customWidth="1"/>
    <col min="2" max="5" width="9" style="2"/>
    <col min="6" max="6" width="25.85546875" style="2" customWidth="1"/>
    <col min="7" max="7" width="10.28515625" style="2" customWidth="1"/>
    <col min="8" max="8" width="2.85546875" style="2" bestFit="1" customWidth="1"/>
    <col min="9" max="9" width="4.28515625"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18" t="s">
        <v>53</v>
      </c>
      <c r="C4" s="119"/>
      <c r="D4" s="119"/>
      <c r="E4" s="119"/>
      <c r="F4" s="119"/>
      <c r="G4" s="119"/>
      <c r="H4" s="120"/>
      <c r="I4" s="1"/>
    </row>
    <row r="5" spans="1:9" x14ac:dyDescent="0.25">
      <c r="A5" s="1"/>
      <c r="B5" s="125" t="s">
        <v>56</v>
      </c>
      <c r="C5" s="126"/>
      <c r="D5" s="126"/>
      <c r="E5" s="126"/>
      <c r="F5" s="127"/>
      <c r="G5" s="54">
        <v>4768503.5598060368</v>
      </c>
      <c r="H5" s="14" t="s">
        <v>3</v>
      </c>
      <c r="I5" s="1"/>
    </row>
    <row r="6" spans="1:9" x14ac:dyDescent="0.25">
      <c r="A6" s="1"/>
      <c r="B6" s="125" t="s">
        <v>54</v>
      </c>
      <c r="C6" s="126"/>
      <c r="D6" s="126"/>
      <c r="E6" s="126"/>
      <c r="F6" s="127"/>
      <c r="G6" s="54">
        <f>G5*'Fane 13. Nøgletal'!C20</f>
        <v>43393.382394234934</v>
      </c>
      <c r="H6" s="14" t="s">
        <v>3</v>
      </c>
      <c r="I6" s="1"/>
    </row>
    <row r="7" spans="1:9" x14ac:dyDescent="0.25">
      <c r="A7" s="1"/>
      <c r="B7" s="63"/>
      <c r="C7" s="64"/>
      <c r="D7" s="64"/>
      <c r="E7" s="64"/>
      <c r="F7" s="64"/>
      <c r="G7" s="57"/>
      <c r="H7" s="19"/>
      <c r="I7" s="1"/>
    </row>
    <row r="8" spans="1:9" x14ac:dyDescent="0.25">
      <c r="A8" s="1"/>
      <c r="B8" s="1"/>
      <c r="C8" s="1"/>
      <c r="D8" s="1"/>
      <c r="E8" s="1"/>
      <c r="F8" s="1"/>
      <c r="G8" s="58"/>
      <c r="H8" s="1"/>
      <c r="I8" s="1"/>
    </row>
    <row r="9" spans="1:9" x14ac:dyDescent="0.25">
      <c r="A9" s="1"/>
      <c r="B9" s="118" t="s">
        <v>57</v>
      </c>
      <c r="C9" s="119"/>
      <c r="D9" s="119"/>
      <c r="E9" s="119"/>
      <c r="F9" s="119"/>
      <c r="G9" s="131"/>
      <c r="H9" s="120"/>
      <c r="I9" s="1"/>
    </row>
    <row r="10" spans="1:9" x14ac:dyDescent="0.25">
      <c r="A10" s="1"/>
      <c r="B10" s="125" t="s">
        <v>58</v>
      </c>
      <c r="C10" s="126"/>
      <c r="D10" s="126"/>
      <c r="E10" s="126"/>
      <c r="F10" s="127"/>
      <c r="G10" s="54">
        <f>(G5-G6)*(1+'Fane 13. Nøgletal'!C9)</f>
        <v>4785119.0766649321</v>
      </c>
      <c r="H10" s="14" t="s">
        <v>3</v>
      </c>
      <c r="I10" s="1"/>
    </row>
    <row r="11" spans="1:9" x14ac:dyDescent="0.25">
      <c r="A11" s="1"/>
      <c r="B11" s="128" t="s">
        <v>59</v>
      </c>
      <c r="C11" s="129"/>
      <c r="D11" s="129"/>
      <c r="E11" s="129"/>
      <c r="F11" s="130"/>
      <c r="G11" s="59">
        <v>0</v>
      </c>
      <c r="H11" s="14" t="s">
        <v>3</v>
      </c>
      <c r="I11" s="1"/>
    </row>
    <row r="12" spans="1:9" x14ac:dyDescent="0.25">
      <c r="A12" s="1"/>
      <c r="B12" s="125" t="s">
        <v>60</v>
      </c>
      <c r="C12" s="126"/>
      <c r="D12" s="126"/>
      <c r="E12" s="126"/>
      <c r="F12" s="127"/>
      <c r="G12" s="54">
        <f>G10*'Fane 13. Nøgletal'!C20+G11*'Fane 13. Nøgletal'!C21</f>
        <v>43544.583597650882</v>
      </c>
      <c r="H12" s="14" t="s">
        <v>3</v>
      </c>
      <c r="I12" s="1"/>
    </row>
    <row r="13" spans="1:9" x14ac:dyDescent="0.25">
      <c r="A13" s="1"/>
      <c r="B13" s="63"/>
      <c r="C13" s="64"/>
      <c r="D13" s="64"/>
      <c r="E13" s="64"/>
      <c r="F13" s="64"/>
      <c r="G13" s="57"/>
      <c r="H13" s="19"/>
      <c r="I13" s="1"/>
    </row>
    <row r="14" spans="1:9" x14ac:dyDescent="0.25">
      <c r="A14" s="1"/>
      <c r="B14" s="1"/>
      <c r="C14" s="1"/>
      <c r="D14" s="1"/>
      <c r="E14" s="1"/>
      <c r="F14" s="1"/>
      <c r="G14" s="58"/>
      <c r="H14" s="1"/>
      <c r="I14" s="1"/>
    </row>
    <row r="15" spans="1:9" x14ac:dyDescent="0.25">
      <c r="A15" s="1"/>
      <c r="B15" s="118" t="s">
        <v>61</v>
      </c>
      <c r="C15" s="119"/>
      <c r="D15" s="119"/>
      <c r="E15" s="119"/>
      <c r="F15" s="119"/>
      <c r="G15" s="131"/>
      <c r="H15" s="120"/>
      <c r="I15" s="1"/>
    </row>
    <row r="16" spans="1:9" x14ac:dyDescent="0.25">
      <c r="A16" s="1"/>
      <c r="B16" s="125" t="s">
        <v>62</v>
      </c>
      <c r="C16" s="126"/>
      <c r="D16" s="126"/>
      <c r="E16" s="126"/>
      <c r="F16" s="127"/>
      <c r="G16" s="54">
        <f>(G10+G11-G12)*(1+'Fane 13. Nøgletal'!C11)</f>
        <v>4821707.1020001182</v>
      </c>
      <c r="H16" s="14" t="s">
        <v>3</v>
      </c>
      <c r="I16" s="1"/>
    </row>
    <row r="17" spans="1:9" x14ac:dyDescent="0.25">
      <c r="A17" s="1"/>
      <c r="B17" s="125" t="s">
        <v>109</v>
      </c>
      <c r="C17" s="126"/>
      <c r="D17" s="126"/>
      <c r="E17" s="126"/>
      <c r="F17" s="127"/>
      <c r="G17" s="54">
        <v>-143201.8930653448</v>
      </c>
      <c r="H17" s="14" t="s">
        <v>3</v>
      </c>
      <c r="I17" s="1"/>
    </row>
    <row r="18" spans="1:9" x14ac:dyDescent="0.25">
      <c r="A18" s="1"/>
      <c r="B18" s="128" t="s">
        <v>63</v>
      </c>
      <c r="C18" s="129"/>
      <c r="D18" s="129"/>
      <c r="E18" s="129"/>
      <c r="F18" s="130"/>
      <c r="G18" s="54">
        <v>27009.282047589993</v>
      </c>
      <c r="H18" s="14" t="s">
        <v>3</v>
      </c>
      <c r="I18" s="1"/>
    </row>
    <row r="19" spans="1:9" x14ac:dyDescent="0.25">
      <c r="A19" s="1"/>
      <c r="B19" s="125" t="s">
        <v>64</v>
      </c>
      <c r="C19" s="126"/>
      <c r="D19" s="126"/>
      <c r="E19" s="126"/>
      <c r="F19" s="127"/>
      <c r="G19" s="54">
        <f>(G16+G17+G18)*'Fane 13. Nøgletal'!C22</f>
        <v>40937.97607154656</v>
      </c>
      <c r="H19" s="14" t="s">
        <v>3</v>
      </c>
      <c r="I19" s="1"/>
    </row>
    <row r="20" spans="1:9" x14ac:dyDescent="0.25">
      <c r="A20" s="1"/>
      <c r="B20" s="63"/>
      <c r="C20" s="64"/>
      <c r="D20" s="64"/>
      <c r="E20" s="64"/>
      <c r="F20" s="64"/>
      <c r="G20" s="57"/>
      <c r="H20" s="19"/>
      <c r="I20" s="1"/>
    </row>
    <row r="21" spans="1:9" x14ac:dyDescent="0.25">
      <c r="A21" s="1"/>
      <c r="B21" s="1"/>
      <c r="C21" s="1"/>
      <c r="D21" s="1"/>
      <c r="E21" s="1"/>
      <c r="F21" s="1"/>
      <c r="G21" s="58"/>
      <c r="H21" s="1"/>
      <c r="I21" s="1"/>
    </row>
    <row r="22" spans="1:9" x14ac:dyDescent="0.25">
      <c r="A22" s="1"/>
      <c r="B22" s="118" t="s">
        <v>65</v>
      </c>
      <c r="C22" s="119"/>
      <c r="D22" s="119"/>
      <c r="E22" s="119"/>
      <c r="F22" s="119"/>
      <c r="G22" s="131"/>
      <c r="H22" s="120"/>
      <c r="I22" s="1"/>
    </row>
    <row r="23" spans="1:9" x14ac:dyDescent="0.25">
      <c r="A23" s="1"/>
      <c r="B23" s="125" t="s">
        <v>66</v>
      </c>
      <c r="C23" s="126"/>
      <c r="D23" s="126"/>
      <c r="E23" s="126"/>
      <c r="F23" s="127"/>
      <c r="G23" s="54">
        <f>(SUM(G16:G18)-G19)*(1+'Fane 13. Nøgletal'!C11)</f>
        <v>4743407.8580128094</v>
      </c>
      <c r="H23" s="14" t="s">
        <v>3</v>
      </c>
      <c r="I23" s="1"/>
    </row>
    <row r="24" spans="1:9" x14ac:dyDescent="0.25">
      <c r="A24" s="1"/>
      <c r="B24" s="128" t="s">
        <v>67</v>
      </c>
      <c r="C24" s="129"/>
      <c r="D24" s="129"/>
      <c r="E24" s="129"/>
      <c r="F24" s="130"/>
      <c r="G24" s="54">
        <v>594050.06791785604</v>
      </c>
      <c r="H24" s="14" t="s">
        <v>3</v>
      </c>
      <c r="I24" s="1"/>
    </row>
    <row r="25" spans="1:9" x14ac:dyDescent="0.25">
      <c r="A25" s="1"/>
      <c r="B25" s="125" t="s">
        <v>68</v>
      </c>
      <c r="C25" s="126"/>
      <c r="D25" s="126"/>
      <c r="E25" s="126"/>
      <c r="F25" s="127"/>
      <c r="G25" s="54">
        <f>G23*'Fane 13. Nøgletal'!C22+G24*'Fane 13. Nøgletal'!C23</f>
        <v>58138.670293578543</v>
      </c>
      <c r="H25" s="14" t="s">
        <v>3</v>
      </c>
      <c r="I25" s="1"/>
    </row>
    <row r="26" spans="1:9" x14ac:dyDescent="0.25">
      <c r="A26" s="1"/>
      <c r="B26" s="63"/>
      <c r="C26" s="64"/>
      <c r="D26" s="64"/>
      <c r="E26" s="64"/>
      <c r="F26" s="64"/>
      <c r="G26" s="57"/>
      <c r="H26" s="19"/>
      <c r="I26" s="1"/>
    </row>
    <row r="27" spans="1:9" x14ac:dyDescent="0.25">
      <c r="A27" s="1"/>
      <c r="B27" s="1"/>
      <c r="C27" s="1"/>
      <c r="D27" s="1"/>
      <c r="E27" s="1"/>
      <c r="F27" s="1"/>
      <c r="G27" s="58"/>
      <c r="H27" s="1"/>
      <c r="I27" s="1"/>
    </row>
    <row r="28" spans="1:9" x14ac:dyDescent="0.25">
      <c r="A28" s="1"/>
      <c r="B28" s="118" t="s">
        <v>130</v>
      </c>
      <c r="C28" s="119"/>
      <c r="D28" s="119"/>
      <c r="E28" s="119"/>
      <c r="F28" s="119"/>
      <c r="G28" s="131"/>
      <c r="H28" s="120"/>
      <c r="I28" s="1"/>
    </row>
    <row r="29" spans="1:9" x14ac:dyDescent="0.25">
      <c r="A29" s="1"/>
      <c r="B29" s="125" t="s">
        <v>69</v>
      </c>
      <c r="C29" s="126"/>
      <c r="D29" s="126"/>
      <c r="E29" s="126"/>
      <c r="F29" s="127"/>
      <c r="G29" s="54">
        <f>(G23+G24-G25)*(1+'Fane 13. Nøgletal'!C13)</f>
        <v>5343726.9505558591</v>
      </c>
      <c r="H29" s="14" t="s">
        <v>3</v>
      </c>
      <c r="I29" s="1"/>
    </row>
    <row r="30" spans="1:9" x14ac:dyDescent="0.25">
      <c r="A30" s="1"/>
      <c r="B30" s="125" t="s">
        <v>123</v>
      </c>
      <c r="C30" s="126"/>
      <c r="D30" s="126"/>
      <c r="E30" s="126"/>
      <c r="F30" s="127"/>
      <c r="G30" s="54">
        <v>212463.76659732001</v>
      </c>
      <c r="H30" s="14" t="s">
        <v>3</v>
      </c>
      <c r="I30" s="1"/>
    </row>
    <row r="31" spans="1:9" x14ac:dyDescent="0.25">
      <c r="A31" s="1"/>
      <c r="B31" s="125" t="s">
        <v>131</v>
      </c>
      <c r="C31" s="126"/>
      <c r="D31" s="126"/>
      <c r="E31" s="126"/>
      <c r="F31" s="127"/>
      <c r="G31" s="54">
        <f>(G29+G30)*'Fane 13. Nøgletal'!C24</f>
        <v>152795.24472171243</v>
      </c>
      <c r="H31" s="14" t="s">
        <v>3</v>
      </c>
      <c r="I31" s="1"/>
    </row>
    <row r="32" spans="1:9" x14ac:dyDescent="0.25">
      <c r="A32" s="1"/>
      <c r="B32" s="63"/>
      <c r="C32" s="64"/>
      <c r="D32" s="64"/>
      <c r="E32" s="64"/>
      <c r="F32" s="64"/>
      <c r="G32" s="57"/>
      <c r="H32" s="19"/>
      <c r="I32" s="1"/>
    </row>
    <row r="33" spans="1:9" x14ac:dyDescent="0.25">
      <c r="A33" s="1"/>
      <c r="B33" s="1"/>
      <c r="C33" s="1"/>
      <c r="D33" s="1"/>
      <c r="E33" s="1"/>
      <c r="F33" s="1"/>
      <c r="G33" s="58"/>
      <c r="H33" s="1"/>
      <c r="I33" s="1"/>
    </row>
    <row r="34" spans="1:9" x14ac:dyDescent="0.25">
      <c r="A34" s="1"/>
      <c r="B34" s="118" t="s">
        <v>135</v>
      </c>
      <c r="C34" s="119"/>
      <c r="D34" s="119"/>
      <c r="E34" s="119"/>
      <c r="F34" s="119"/>
      <c r="G34" s="131"/>
      <c r="H34" s="120"/>
      <c r="I34" s="1"/>
    </row>
    <row r="35" spans="1:9" x14ac:dyDescent="0.25">
      <c r="A35" s="1"/>
      <c r="B35" s="125" t="s">
        <v>72</v>
      </c>
      <c r="C35" s="126"/>
      <c r="D35" s="126"/>
      <c r="E35" s="126"/>
      <c r="F35" s="127"/>
      <c r="G35" s="54">
        <f>(G29+G30-G31)*(1+'Fane 13. Nøgletal'!C13)</f>
        <v>5469316.8971951306</v>
      </c>
      <c r="H35" s="14" t="s">
        <v>3</v>
      </c>
      <c r="I35" s="1"/>
    </row>
    <row r="36" spans="1:9" x14ac:dyDescent="0.25">
      <c r="A36" s="1"/>
      <c r="B36" s="125" t="s">
        <v>141</v>
      </c>
      <c r="C36" s="126"/>
      <c r="D36" s="126"/>
      <c r="E36" s="126"/>
      <c r="F36" s="127"/>
      <c r="G36" s="54">
        <f>SUM('Fane 3. Omkostninger i ØR2022'!E11)*(1+'Fane 13. Nøgletal'!C14)</f>
        <v>0</v>
      </c>
      <c r="H36" s="14" t="s">
        <v>3</v>
      </c>
      <c r="I36" s="1"/>
    </row>
    <row r="37" spans="1:9" x14ac:dyDescent="0.25">
      <c r="A37" s="1"/>
      <c r="B37" s="125" t="s">
        <v>136</v>
      </c>
      <c r="C37" s="126"/>
      <c r="D37" s="126"/>
      <c r="E37" s="126"/>
      <c r="F37" s="127"/>
      <c r="G37" s="54">
        <f>G35*'Fane 13. Nøgletal'!C24+G36*'Fane 13. Nøgletal'!C25</f>
        <v>150406.2146728661</v>
      </c>
      <c r="H37" s="14" t="s">
        <v>3</v>
      </c>
      <c r="I37" s="1"/>
    </row>
    <row r="38" spans="1:9" x14ac:dyDescent="0.25">
      <c r="A38" s="1"/>
      <c r="B38" s="63"/>
      <c r="C38" s="64"/>
      <c r="D38" s="64"/>
      <c r="E38" s="64"/>
      <c r="F38" s="64"/>
      <c r="G38" s="57"/>
      <c r="H38" s="19"/>
      <c r="I38" s="1"/>
    </row>
    <row r="39" spans="1:9" x14ac:dyDescent="0.25">
      <c r="A39" s="1"/>
      <c r="B39" s="1"/>
      <c r="C39" s="1"/>
      <c r="D39" s="1"/>
      <c r="E39" s="1"/>
      <c r="F39" s="1"/>
      <c r="G39" s="58"/>
      <c r="H39" s="1"/>
      <c r="I39" s="1"/>
    </row>
    <row r="40" spans="1:9" x14ac:dyDescent="0.25">
      <c r="A40" s="1"/>
      <c r="B40" s="118" t="s">
        <v>200</v>
      </c>
      <c r="C40" s="119"/>
      <c r="D40" s="119"/>
      <c r="E40" s="119"/>
      <c r="F40" s="119"/>
      <c r="G40" s="131"/>
      <c r="H40" s="120"/>
      <c r="I40" s="1"/>
    </row>
    <row r="41" spans="1:9" x14ac:dyDescent="0.25">
      <c r="A41" s="1"/>
      <c r="B41" s="125" t="s">
        <v>71</v>
      </c>
      <c r="C41" s="126"/>
      <c r="D41" s="126"/>
      <c r="E41" s="126"/>
      <c r="F41" s="127"/>
      <c r="G41" s="54">
        <f>(G35+G36-G37)*(1+'Fane 13. Nøgletal'!C15)</f>
        <v>5508263.9028200572</v>
      </c>
      <c r="H41" s="14" t="s">
        <v>3</v>
      </c>
      <c r="I41" s="1"/>
    </row>
    <row r="42" spans="1:9" x14ac:dyDescent="0.25">
      <c r="A42" s="1"/>
      <c r="B42" s="125" t="s">
        <v>211</v>
      </c>
      <c r="C42" s="126"/>
      <c r="D42" s="126"/>
      <c r="E42" s="126"/>
      <c r="F42" s="127"/>
      <c r="G42" s="59">
        <f>SUM('Fane 2.1. Økonomisk ramme 2023'!C10+'Fane 2.1. Økonomisk ramme 2023'!C12+'Fane 2.1. Økonomisk ramme 2023'!C14)*(1+'Fane 13. Nøgletal'!C15)</f>
        <v>0</v>
      </c>
      <c r="H42" s="14" t="s">
        <v>3</v>
      </c>
      <c r="I42" s="1"/>
    </row>
    <row r="43" spans="1:9" x14ac:dyDescent="0.25">
      <c r="A43" s="1"/>
      <c r="B43" s="125" t="s">
        <v>70</v>
      </c>
      <c r="C43" s="126"/>
      <c r="D43" s="126"/>
      <c r="E43" s="126"/>
      <c r="F43" s="127"/>
      <c r="G43" s="54">
        <f>(G41+G42)*'Fane 13. Nøgletal'!C26</f>
        <v>0</v>
      </c>
      <c r="H43" s="14" t="s">
        <v>3</v>
      </c>
      <c r="I43" s="1"/>
    </row>
    <row r="44" spans="1:9" x14ac:dyDescent="0.25">
      <c r="A44" s="1"/>
      <c r="B44" s="63"/>
      <c r="C44" s="64"/>
      <c r="D44" s="64"/>
      <c r="E44" s="64"/>
      <c r="F44" s="64"/>
      <c r="G44" s="57"/>
      <c r="H44" s="19"/>
      <c r="I44" s="1"/>
    </row>
    <row r="45" spans="1:9" ht="12" customHeight="1" x14ac:dyDescent="0.25">
      <c r="A45" s="1"/>
      <c r="B45" s="1"/>
      <c r="C45" s="1"/>
      <c r="D45" s="1"/>
      <c r="E45" s="1"/>
      <c r="F45" s="1"/>
      <c r="G45" s="58"/>
      <c r="H45" s="1"/>
      <c r="I45" s="1"/>
    </row>
    <row r="46" spans="1:9" x14ac:dyDescent="0.25">
      <c r="A46" s="1"/>
      <c r="B46" s="118" t="s">
        <v>201</v>
      </c>
      <c r="C46" s="119"/>
      <c r="D46" s="119"/>
      <c r="E46" s="119"/>
      <c r="F46" s="119"/>
      <c r="G46" s="131"/>
      <c r="H46" s="120"/>
      <c r="I46" s="1"/>
    </row>
    <row r="47" spans="1:9" x14ac:dyDescent="0.25">
      <c r="A47" s="1"/>
      <c r="B47" s="125" t="s">
        <v>124</v>
      </c>
      <c r="C47" s="126"/>
      <c r="D47" s="126"/>
      <c r="E47" s="126"/>
      <c r="F47" s="127"/>
      <c r="G47" s="54">
        <f>(G41+G42-G43)*(1+'Fane 13. Nøgletal'!C15)</f>
        <v>5704358.097760452</v>
      </c>
      <c r="H47" s="14" t="s">
        <v>3</v>
      </c>
      <c r="I47" s="1"/>
    </row>
    <row r="48" spans="1:9" x14ac:dyDescent="0.25">
      <c r="A48" s="1"/>
      <c r="B48" s="125" t="s">
        <v>125</v>
      </c>
      <c r="C48" s="126"/>
      <c r="D48" s="126"/>
      <c r="E48" s="126"/>
      <c r="F48" s="127"/>
      <c r="G48" s="54">
        <f>(G47)*'Fane 13. Nøgletal'!C26</f>
        <v>0</v>
      </c>
      <c r="H48" s="14" t="s">
        <v>3</v>
      </c>
      <c r="I48" s="1"/>
    </row>
    <row r="49" spans="1:9" x14ac:dyDescent="0.25">
      <c r="A49" s="1"/>
      <c r="B49" s="63"/>
      <c r="C49" s="64"/>
      <c r="D49" s="64"/>
      <c r="E49" s="64"/>
      <c r="F49" s="64"/>
      <c r="G49" s="57"/>
      <c r="H49" s="19"/>
      <c r="I49" s="1"/>
    </row>
    <row r="50" spans="1:9" x14ac:dyDescent="0.25">
      <c r="A50" s="1"/>
      <c r="B50" s="1"/>
      <c r="C50" s="1"/>
      <c r="D50" s="1"/>
      <c r="E50" s="1"/>
      <c r="F50" s="1"/>
      <c r="G50" s="58"/>
      <c r="H50" s="1"/>
      <c r="I50" s="1"/>
    </row>
    <row r="51" spans="1:9" x14ac:dyDescent="0.25">
      <c r="A51" s="1"/>
      <c r="B51" s="118" t="s">
        <v>142</v>
      </c>
      <c r="C51" s="119"/>
      <c r="D51" s="119"/>
      <c r="E51" s="119"/>
      <c r="F51" s="119"/>
      <c r="G51" s="131"/>
      <c r="H51" s="120"/>
      <c r="I51" s="1"/>
    </row>
    <row r="52" spans="1:9" x14ac:dyDescent="0.25">
      <c r="A52" s="1"/>
      <c r="B52" s="125" t="s">
        <v>143</v>
      </c>
      <c r="C52" s="126"/>
      <c r="D52" s="126"/>
      <c r="E52" s="126"/>
      <c r="F52" s="127"/>
      <c r="G52" s="54">
        <f>(G47-G48)*(1+'Fane 13. Nøgletal'!C15)</f>
        <v>5907433.2460407242</v>
      </c>
      <c r="H52" s="14" t="s">
        <v>3</v>
      </c>
      <c r="I52" s="1"/>
    </row>
    <row r="53" spans="1:9" x14ac:dyDescent="0.25">
      <c r="A53" s="1"/>
      <c r="B53" s="125" t="s">
        <v>144</v>
      </c>
      <c r="C53" s="126"/>
      <c r="D53" s="126"/>
      <c r="E53" s="126"/>
      <c r="F53" s="127"/>
      <c r="G53" s="54">
        <f>(G52)*'Fane 13. Nøgletal'!C26</f>
        <v>0</v>
      </c>
      <c r="H53" s="14" t="s">
        <v>3</v>
      </c>
      <c r="I53" s="1"/>
    </row>
    <row r="54" spans="1:9" x14ac:dyDescent="0.25">
      <c r="A54" s="1"/>
      <c r="B54" s="63"/>
      <c r="C54" s="64"/>
      <c r="D54" s="64"/>
      <c r="E54" s="64"/>
      <c r="F54" s="64"/>
      <c r="G54" s="57"/>
      <c r="H54" s="19"/>
      <c r="I54" s="1"/>
    </row>
    <row r="55" spans="1:9" x14ac:dyDescent="0.25">
      <c r="A55" s="1"/>
      <c r="B55" s="1"/>
      <c r="C55" s="1"/>
      <c r="D55" s="1"/>
      <c r="E55" s="1"/>
      <c r="F55" s="1"/>
      <c r="G55" s="58"/>
      <c r="H55" s="1"/>
      <c r="I55" s="1"/>
    </row>
    <row r="56" spans="1:9" x14ac:dyDescent="0.25">
      <c r="A56" s="1"/>
      <c r="B56" s="118" t="s">
        <v>177</v>
      </c>
      <c r="C56" s="119"/>
      <c r="D56" s="119"/>
      <c r="E56" s="119"/>
      <c r="F56" s="119"/>
      <c r="G56" s="131"/>
      <c r="H56" s="120"/>
      <c r="I56" s="1"/>
    </row>
    <row r="57" spans="1:9" x14ac:dyDescent="0.25">
      <c r="A57" s="1"/>
      <c r="B57" s="125" t="s">
        <v>178</v>
      </c>
      <c r="C57" s="126"/>
      <c r="D57" s="126"/>
      <c r="E57" s="126"/>
      <c r="F57" s="127"/>
      <c r="G57" s="54">
        <f>(G52-G53)*(1+'Fane 13. Nøgletal'!C15)</f>
        <v>6117737.8695997745</v>
      </c>
      <c r="H57" s="14" t="s">
        <v>3</v>
      </c>
      <c r="I57" s="1"/>
    </row>
    <row r="58" spans="1:9" x14ac:dyDescent="0.25">
      <c r="A58" s="1"/>
      <c r="B58" s="125" t="s">
        <v>179</v>
      </c>
      <c r="C58" s="126"/>
      <c r="D58" s="126"/>
      <c r="E58" s="126"/>
      <c r="F58" s="127"/>
      <c r="G58" s="54">
        <f>(G57)*'Fane 13. Nøgletal'!C26</f>
        <v>0</v>
      </c>
      <c r="H58" s="14" t="s">
        <v>3</v>
      </c>
      <c r="I58" s="1"/>
    </row>
    <row r="59" spans="1:9" x14ac:dyDescent="0.25">
      <c r="A59" s="1"/>
      <c r="B59" s="63"/>
      <c r="C59" s="64"/>
      <c r="D59" s="64"/>
      <c r="E59" s="64"/>
      <c r="F59" s="64"/>
      <c r="G59" s="64"/>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qsMPeQzgaKBWLW8+ErArIypcaa5jvr1uw08aL2bs2kgIouMWw+Ja0ecLXwQT/Wiw5+7jkst/IKsvnG4itH88tQ==" saltValue="yLNc/uRhFk72wejYneYvr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9</v>
      </c>
      <c r="C8" s="119"/>
      <c r="D8" s="119"/>
      <c r="E8" s="119"/>
      <c r="F8" s="119"/>
      <c r="G8" s="119"/>
      <c r="H8" s="1"/>
    </row>
    <row r="9" spans="1:8" x14ac:dyDescent="0.25">
      <c r="A9" s="1"/>
      <c r="B9" s="72" t="s">
        <v>180</v>
      </c>
      <c r="C9" s="73"/>
      <c r="D9" s="73"/>
      <c r="E9" s="73"/>
      <c r="F9" s="74"/>
      <c r="G9" s="28">
        <v>2.8664103648208023E-3</v>
      </c>
      <c r="H9" s="1"/>
    </row>
    <row r="10" spans="1:8" x14ac:dyDescent="0.25">
      <c r="A10" s="1"/>
      <c r="B10" s="63"/>
      <c r="C10" s="64"/>
      <c r="D10" s="64"/>
      <c r="E10" s="64"/>
      <c r="F10" s="64"/>
      <c r="G10" s="64"/>
      <c r="H10" s="1"/>
    </row>
    <row r="11" spans="1:8" x14ac:dyDescent="0.25">
      <c r="A11" s="1"/>
      <c r="B11" s="1"/>
      <c r="C11" s="1"/>
      <c r="D11" s="1"/>
      <c r="E11" s="1"/>
      <c r="F11" s="1"/>
      <c r="G11" s="1"/>
      <c r="H11" s="1"/>
    </row>
    <row r="12" spans="1:8" ht="31.5" customHeight="1" x14ac:dyDescent="0.25">
      <c r="A12" s="1"/>
      <c r="B12" s="135" t="s">
        <v>202</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1Kda+2pOXQWWzwsI3BXKTMTKtkPXwKRQx4g4vwpS+QShN8tVBbUVHLZaU8i+wwvOvaJ0E8b4pzxcUG5p9nA/LQ==" saltValue="bSxSd1o2pZmqP5cLLHIcu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2022-12-01T09:05:18Z</dcterms:modified>
</cp:coreProperties>
</file>