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llund Spildevand AS (S00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9" i="30" s="1"/>
  <c r="E24" i="21"/>
  <c r="G54" i="36" s="1"/>
  <c r="C24" i="21"/>
  <c r="G53" i="30" s="1"/>
  <c r="C11" i="15"/>
  <c r="C10" i="15"/>
  <c r="E37" i="39"/>
  <c r="C37" i="39"/>
  <c r="C38" i="39" s="1"/>
  <c r="E29" i="39"/>
  <c r="C29" i="39"/>
  <c r="C30" i="39" s="1"/>
  <c r="E21" i="39"/>
  <c r="C21" i="39"/>
  <c r="E13" i="39"/>
  <c r="C13" i="39"/>
  <c r="C11" i="23" l="1"/>
  <c r="C10" i="23"/>
  <c r="C11" i="22"/>
  <c r="C10" i="22"/>
  <c r="E39" i="39"/>
  <c r="E38" i="39"/>
  <c r="E30" i="39"/>
  <c r="E31" i="39"/>
  <c r="E23" i="39"/>
  <c r="E22" i="39"/>
  <c r="C22" i="39"/>
  <c r="C23" i="39"/>
  <c r="E15" i="39"/>
  <c r="E14" i="39"/>
  <c r="C15" i="39"/>
  <c r="C14" i="39"/>
  <c r="C39" i="39"/>
  <c r="C40" i="39" s="1"/>
  <c r="C31" i="39"/>
  <c r="C32" i="39" s="1"/>
  <c r="E24" i="39" l="1"/>
  <c r="C23" i="15" s="1"/>
  <c r="E40" i="39"/>
  <c r="C23" i="23" s="1"/>
  <c r="E32" i="39"/>
  <c r="C23" i="22" s="1"/>
  <c r="C16" i="39"/>
  <c r="C26" i="2" s="1"/>
  <c r="E16" i="39"/>
  <c r="C27" i="2" s="1"/>
  <c r="C24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5" i="37" s="1"/>
  <c r="C16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5" i="37" s="1"/>
  <c r="E16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<sst xmlns="http://schemas.openxmlformats.org/spreadsheetml/2006/main" count="723" uniqueCount="290">
  <si>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</si>
  <si>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</si>
  <si>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</si>
  <si>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</si>
  <si>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</si>
  <si>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</si>
  <si>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</si>
  <si>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</si>
  <si>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</si>
  <si>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</si>
  <si>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</si>
  <si>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</si>
  <si>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</si>
  <si>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</si>
  <si>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</si>
  <si>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</si>
  <si>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</si>
  <si>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</si>
  <si>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</si>
  <si>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</si>
  <si>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</si>
  <si>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</si>
  <si>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</si>
  <si>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</si>
  <si>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</si>
  <si>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</si>
  <si>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</si>
  <si>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</si>
  <si>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</si>
  <si>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</si>
  <si>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</si>
  <si>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</si>
  <si>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</si>
  <si>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</si>
  <si>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</si>
  <si>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</si>
  <si>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</si>
  <si>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</si>
  <si>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</si>
  <si>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</si>
  <si>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</si>
  <si>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</si>
  <si>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</si>
  <si>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</si>
  <si>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</si>
  <si>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</si>
  <si>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</si>
  <si>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</si>
  <si>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</si>
  <si>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</si>
  <si>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</si>
  <si>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</si>
  <si>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</si>
  <si>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</si>
  <si>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</si>
  <si>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</si>
  <si>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</si>
  <si>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</si>
  <si>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</si>
  <si>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</si>
  <si>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</si>
  <si>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</si>
  <si>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</si>
  <si>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</si>
  <si>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</si>
  <si>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</si>
  <si>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</si>
  <si>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</si>
  <si>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</si>
  <si>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</si>
  <si>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</si>
  <si>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</si>
  <si>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</si>
  <si>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</si>
  <si>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</si>
  <si>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</si>
  <si>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</si>
  <si>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</si>
  <si>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</si>
  <si>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</si>
  <si>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</si>
  <si>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</si>
  <si>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</si>
  <si>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</si>
  <si>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</si>
  <si>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</si>
  <si>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</si>
  <si>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</si>
  <si>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</si>
  <si>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</si>
  <si>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</si>
  <si>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</si>
  <si>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</si>
  <si>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</si>
  <si>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</si>
  <si>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</si>
  <si>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</si>
  <si>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</si>
  <si>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</si>
  <si>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</si>
  <si>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</si>
  <si>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</si>
  <si>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</si>
  <si>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</si>
  <si>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</si>
  <si>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</si>
  <si>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</si>
  <si>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</si>
  <si>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</si>
  <si>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</si>
  <si>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</si>
  <si>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</si>
  <si>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</si>
  <si>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</si>
  <si>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</si>
  <si>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</si>
  <si>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</si>
  <si>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</si>
  <si>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</si>
  <si>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</si>
  <si>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</si>
  <si>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</si>
  <si>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</si>
  <si>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</si>
  <si>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</si>
  <si>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</si>
  <si>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</si>
  <si>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</si>
  <si>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</si>
  <si>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</si>
  <si>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</si>
  <si>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</si>
  <si>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</si>
  <si>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</si>
  <si>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</si>
  <si>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</si>
  <si>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</si>
  <si>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</si>
  <si>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</si>
  <si>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</si>
  <si>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</si>
  <si>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</si>
  <si>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</si>
  <si>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</si>
  <si>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</si>
  <si>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</si>
  <si>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</si>
  <si>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</si>
  <si>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</si>
  <si>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</si>
  <si>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</si>
  <si>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</si>
  <si>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</si>
  <si>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</si>
  <si>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</si>
  <si>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</si>
  <si>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</si>
  <si>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</si>
  <si>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</si>
  <si>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</si>
  <si>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</si>
  <si>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</si>
  <si>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</si>
  <si>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</si>
  <si>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</si>
  <si>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</si>
  <si>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</si>
  <si>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</si>
  <si>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</si>
  <si>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</si>
  <si>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</si>
  <si>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</si>
  <si>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</si>
  <si>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</si>
  <si>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</si>
  <si>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</si>
  <si>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</si>
  <si>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</si>
  <si>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</si>
  <si>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</si>
  <si>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</si>
  <si>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</si>
  <si>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</si>
  <si>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</si>
  <si>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</si>
  <si>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</si>
  <si>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</si>
  <si>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</si>
  <si>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</si>
  <si>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</si>
  <si>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</si>
  <si>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</si>
  <si>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</si>
  <si>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</si>
  <si>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</si>
  <si>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</si>
  <si>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</si>
  <si>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</si>
  <si>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</si>
  <si>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</si>
  <si>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</si>
  <si>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</si>
  <si>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</si>
  <si>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</si>
  <si>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</si>
  <si>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</si>
  <si>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</si>
  <si>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</si>
  <si>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</si>
  <si>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</si>
  <si>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</si>
  <si>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</si>
  <si>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</si>
  <si>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</si>
  <si>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</si>
  <si>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</si>
  <si>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</si>
  <si>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</si>
  <si>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</si>
  <si>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</si>
  <si>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</si>
  <si>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</si>
  <si>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</si>
  <si>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</si>
  <si>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</si>
  <si>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</si>
  <si>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</si>
  <si>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</si>
  <si>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</si>
  <si>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</si>
  <si>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</si>
  <si>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</si>
  <si>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</si>
  <si>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</si>
  <si>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</si>
  <si>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</si>
  <si>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</si>
  <si>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</si>
  <si>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</si>
  <si>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</si>
  <si>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</si>
  <si>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</si>
  <si>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</si>
  <si>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</si>
  <si>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</si>
  <si>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</si>
  <si>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</si>
  <si>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</si>
  <si>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</si>
  <si>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</si>
  <si>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</si>
  <si>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</si>
  <si>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</si>
  <si>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</si>
  <si>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</si>
  <si>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</si>
  <si>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</si>
  <si>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</si>
  <si>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</si>
  <si>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</si>
  <si>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</si>
  <si>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Byggemodninger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</si>
  <si>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</si>
  <si>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</si>
  <si>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</si>
  <si>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</si>
  <si>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</si>
  <si>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</si>
  <si>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</si>
  <si>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</si>
  <si>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</si>
  <si>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</si>
  <si>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</si>
  <si>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</si>
  <si>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</si>
  <si>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</si>
  <si>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</si>
  <si>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</si>
  <si>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</si>
  <si>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</si>
  <si>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</si>
  <si>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Oprensninger 2018</t>
  </si>
  <si>
    <t>Oprensninger 2019</t>
  </si>
  <si>
    <t>Oprensninger 2020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</si>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</sst>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288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245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17</v>
      </c>
      <c r="D14" s="67" t="s">
        <v>246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37</v>
      </c>
      <c r="D15" s="67" t="s">
        <v>160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38</v>
      </c>
      <c r="D16" s="67" t="s">
        <v>247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144</v>
      </c>
      <c r="D17" s="67" t="s">
        <v>248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124</v>
      </c>
      <c r="D18" s="79" t="s">
        <v>110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125</v>
      </c>
      <c r="D19" s="79" t="s">
        <v>111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7</v>
      </c>
      <c r="D20" s="79" t="s">
        <v>10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126</v>
      </c>
      <c r="D21" s="71" t="s">
        <v>13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91</v>
      </c>
      <c r="D22" s="74" t="s">
        <v>249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195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9</v>
      </c>
      <c r="D24" s="74" t="s">
        <v>39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127</v>
      </c>
      <c r="D25" s="74" t="s">
        <v>92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128</v>
      </c>
      <c r="D26" s="74" t="s">
        <v>93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129</v>
      </c>
      <c r="D27" s="74" t="s">
        <v>94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16</v>
      </c>
      <c r="D28" s="74" t="s">
        <v>161</v>
      </c>
      <c r="E28" s="75"/>
      <c r="F28" s="75"/>
      <c r="G28" s="76"/>
      <c r="H28" s="1"/>
      <c r="I28" s="1"/>
    </row>
    <row r="29" spans="1:9" x14ac:dyDescent="0.25">
      <c r="A29" s="1"/>
      <c r="B29" s="1"/>
      <c r="C29" s="6" t="s">
        <v>41</v>
      </c>
      <c r="D29" s="74" t="s">
        <v>40</v>
      </c>
      <c r="E29" s="75"/>
      <c r="F29" s="75"/>
      <c r="G29" s="76"/>
      <c r="H29" s="1"/>
      <c r="I29" s="1"/>
    </row>
    <row r="30" spans="1:9" x14ac:dyDescent="0.25">
      <c r="A30" s="1"/>
      <c r="B30" s="1"/>
      <c r="C30" s="6" t="s">
        <v>42</v>
      </c>
      <c r="D30" s="82" t="s">
        <v>123</v>
      </c>
      <c r="E30" s="83"/>
      <c r="F30" s="83"/>
      <c r="G30" s="8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rBuqp1nwV+EpodhzMIdjC8T9w983f4AHWc+a2t26Sfd+iTqEtPPVrMAiUVl9cTPszD75/+S4Uvykr3b+rbw9w==" saltValue="7qtNS4r3do4QdHfkCEaNN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132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208</v>
      </c>
      <c r="C8" s="94"/>
      <c r="D8" s="95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263</v>
      </c>
      <c r="C10" s="9">
        <v>336896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264</v>
      </c>
      <c r="C11" s="9">
        <v>63782</v>
      </c>
      <c r="D11" s="14" t="s">
        <v>3</v>
      </c>
      <c r="E11" s="1"/>
      <c r="F11" s="1"/>
    </row>
    <row r="12" spans="1:6" x14ac:dyDescent="0.25">
      <c r="A12" s="1"/>
      <c r="B12" s="63" t="s">
        <v>265</v>
      </c>
      <c r="C12" s="9">
        <v>23689143</v>
      </c>
      <c r="D12" s="14" t="s">
        <v>3</v>
      </c>
      <c r="E12" s="1"/>
      <c r="F12" s="1"/>
    </row>
    <row r="13" spans="1:6" x14ac:dyDescent="0.25">
      <c r="A13" s="1"/>
      <c r="B13" s="63" t="s">
        <v>266</v>
      </c>
      <c r="C13" s="9">
        <v>119863</v>
      </c>
      <c r="D13" s="14" t="s">
        <v>3</v>
      </c>
      <c r="E13" s="1"/>
      <c r="F13" s="1"/>
    </row>
    <row r="14" spans="1:6" x14ac:dyDescent="0.25">
      <c r="A14" s="1"/>
      <c r="B14" s="63" t="s">
        <v>267</v>
      </c>
      <c r="C14" s="9">
        <v>52430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24262114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24422508.166821465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142</v>
      </c>
      <c r="C19" s="94"/>
      <c r="D19" s="95"/>
      <c r="E19" s="1"/>
      <c r="F19" s="1"/>
    </row>
    <row r="20" spans="1:6" x14ac:dyDescent="0.25">
      <c r="A20" s="1"/>
      <c r="B20" s="63" t="s">
        <v>116</v>
      </c>
      <c r="C20" s="9">
        <v>641498</v>
      </c>
      <c r="D20" s="14" t="s">
        <v>3</v>
      </c>
      <c r="E20" s="1"/>
      <c r="F20" s="1"/>
    </row>
    <row r="21" spans="1:6" x14ac:dyDescent="0.25">
      <c r="A21" s="1"/>
      <c r="B21" s="63" t="s">
        <v>117</v>
      </c>
      <c r="C21" s="9">
        <v>627763</v>
      </c>
      <c r="D21" s="14" t="s">
        <v>3</v>
      </c>
      <c r="E21" s="1"/>
      <c r="F21" s="1"/>
    </row>
    <row r="22" spans="1:6" x14ac:dyDescent="0.25">
      <c r="A22" s="1"/>
      <c r="B22" s="63" t="s">
        <v>154</v>
      </c>
      <c r="C22" s="9">
        <v>614028</v>
      </c>
      <c r="D22" s="14" t="s">
        <v>3</v>
      </c>
      <c r="E22" s="1"/>
      <c r="F22" s="1"/>
    </row>
    <row r="23" spans="1:6" x14ac:dyDescent="0.25">
      <c r="A23" s="1"/>
      <c r="B23" s="63" t="s">
        <v>211</v>
      </c>
      <c r="C23" s="9">
        <v>600293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115</v>
      </c>
      <c r="C27" s="94"/>
      <c r="D27" s="95"/>
      <c r="E27" s="1"/>
      <c r="F27" s="1"/>
    </row>
    <row r="28" spans="1:6" x14ac:dyDescent="0.25">
      <c r="A28" s="1"/>
      <c r="B28" s="63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3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LUVR1VL4Fx6Sbn6+0BP0gMwPEaFlyH3Avux3h3L29z8kj01zVeDlvJX92r/wkZJcczSGSIXLicrt00gr+mzhZA==" saltValue="G2t/WvTjDutEKjZKPaHDM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212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269</v>
      </c>
      <c r="C8" s="94"/>
      <c r="D8" s="94"/>
      <c r="E8" s="94"/>
      <c r="F8" s="95"/>
      <c r="G8" s="1"/>
    </row>
    <row r="9" spans="1:7" x14ac:dyDescent="0.25">
      <c r="A9" s="1"/>
      <c r="B9" s="102" t="s">
        <v>270</v>
      </c>
      <c r="C9" s="103"/>
      <c r="D9" s="104"/>
      <c r="E9" s="9">
        <v>1936326.9986920208</v>
      </c>
      <c r="F9" s="14" t="s">
        <v>3</v>
      </c>
      <c r="G9" s="1"/>
    </row>
    <row r="10" spans="1:7" x14ac:dyDescent="0.25">
      <c r="A10" s="1"/>
      <c r="B10" s="102" t="s">
        <v>271</v>
      </c>
      <c r="C10" s="103"/>
      <c r="D10" s="104"/>
      <c r="E10" s="9">
        <v>1230437.7641352788</v>
      </c>
      <c r="F10" s="14" t="s">
        <v>3</v>
      </c>
      <c r="G10" s="1"/>
    </row>
    <row r="11" spans="1:7" x14ac:dyDescent="0.25">
      <c r="A11" s="1"/>
      <c r="B11" s="102" t="s">
        <v>272</v>
      </c>
      <c r="C11" s="103"/>
      <c r="D11" s="104"/>
      <c r="E11" s="9">
        <v>1230437.7641352788</v>
      </c>
      <c r="F11" s="14" t="s">
        <v>3</v>
      </c>
      <c r="G11" s="1"/>
    </row>
    <row r="12" spans="1:7" x14ac:dyDescent="0.25">
      <c r="A12" s="1"/>
      <c r="B12" s="102" t="s">
        <v>273</v>
      </c>
      <c r="C12" s="103"/>
      <c r="D12" s="104"/>
      <c r="E12" s="9">
        <v>-2120668.8836022913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6" t="s">
        <v>274</v>
      </c>
      <c r="C14" s="97"/>
      <c r="D14" s="97"/>
      <c r="E14" s="97"/>
      <c r="F14" s="98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275</v>
      </c>
      <c r="C16" s="94"/>
      <c r="D16" s="94"/>
      <c r="E16" s="94"/>
      <c r="F16" s="95"/>
      <c r="G16" s="1"/>
    </row>
    <row r="17" spans="1:7" x14ac:dyDescent="0.25">
      <c r="A17" s="1"/>
      <c r="B17" s="102" t="s">
        <v>276</v>
      </c>
      <c r="C17" s="103"/>
      <c r="D17" s="104"/>
      <c r="E17" s="9">
        <v>-445115.61793236062</v>
      </c>
      <c r="F17" s="14" t="s">
        <v>3</v>
      </c>
      <c r="G17" s="1"/>
    </row>
    <row r="18" spans="1:7" x14ac:dyDescent="0.25">
      <c r="A18" s="1"/>
      <c r="B18" s="102" t="s">
        <v>277</v>
      </c>
      <c r="C18" s="103"/>
      <c r="D18" s="104"/>
      <c r="E18" s="9">
        <v>-445115.61793236062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6" t="s">
        <v>278</v>
      </c>
      <c r="C20" s="97"/>
      <c r="D20" s="97"/>
      <c r="E20" s="97"/>
      <c r="F20" s="9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0" t="s">
        <v>214</v>
      </c>
      <c r="C23" s="61"/>
      <c r="D23" s="62"/>
      <c r="E23" s="9">
        <v>55178379.116438255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52814062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58" t="s">
        <v>279</v>
      </c>
      <c r="C26" s="59"/>
      <c r="D26" s="65"/>
      <c r="E26" s="47">
        <f>E23-(E24-E25)</f>
        <v>2364317.1164382547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3" t="s">
        <v>186</v>
      </c>
      <c r="C30" s="94"/>
      <c r="D30" s="94"/>
      <c r="E30" s="94"/>
      <c r="F30" s="95"/>
      <c r="G30" s="1"/>
    </row>
    <row r="31" spans="1:7" x14ac:dyDescent="0.25">
      <c r="A31" s="1"/>
      <c r="B31" s="118" t="s">
        <v>286</v>
      </c>
      <c r="C31" s="119"/>
      <c r="D31" s="120"/>
      <c r="E31" s="9">
        <v>0</v>
      </c>
      <c r="F31" s="14"/>
      <c r="G31" s="1"/>
    </row>
    <row r="32" spans="1:7" x14ac:dyDescent="0.2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-890231.23586472124</v>
      </c>
      <c r="F32" s="14" t="s">
        <v>3</v>
      </c>
      <c r="G32" s="1"/>
    </row>
    <row r="33" spans="1:7" x14ac:dyDescent="0.2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25">
      <c r="A34" s="1"/>
      <c r="B34" s="114" t="s">
        <v>188</v>
      </c>
      <c r="C34" s="114"/>
      <c r="D34" s="114"/>
      <c r="E34" s="10">
        <f>E32/E33</f>
        <v>-445115.61793236062</v>
      </c>
      <c r="F34" s="17" t="s">
        <v>3</v>
      </c>
      <c r="G34" s="1"/>
    </row>
    <row r="35" spans="1:7" x14ac:dyDescent="0.25">
      <c r="A35" s="1"/>
      <c r="B35" s="115"/>
      <c r="C35" s="116"/>
      <c r="D35" s="116"/>
      <c r="E35" s="116"/>
      <c r="F35" s="117"/>
      <c r="G35" s="1"/>
    </row>
    <row r="36" spans="1:7" ht="75" customHeight="1" x14ac:dyDescent="0.25">
      <c r="A36" s="1"/>
      <c r="B36" s="96" t="s">
        <v>285</v>
      </c>
      <c r="C36" s="97"/>
      <c r="D36" s="97"/>
      <c r="E36" s="97"/>
      <c r="F36" s="9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+S1irDRbYJTLHUVvH7s8VL8uf47PSmujzP0kFJJbRLbIHPL3L0HbbLduHh9ChZUpnQH4u1aGHPDMGCQzgrI/Q==" saltValue="qFXSr+TXmZm+n4lrrHHYzQ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216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217</v>
      </c>
      <c r="C9" s="94"/>
      <c r="D9" s="94"/>
      <c r="E9" s="94"/>
      <c r="F9" s="95"/>
      <c r="G9" s="1"/>
    </row>
    <row r="10" spans="1:7" x14ac:dyDescent="0.25">
      <c r="A10" s="1"/>
      <c r="B10" s="96" t="s">
        <v>118</v>
      </c>
      <c r="C10" s="97"/>
      <c r="D10" s="98"/>
      <c r="E10" s="7">
        <v>0</v>
      </c>
      <c r="F10" s="8" t="s">
        <v>3</v>
      </c>
      <c r="G10" s="1"/>
    </row>
    <row r="11" spans="1:7" x14ac:dyDescent="0.25">
      <c r="A11" s="1"/>
      <c r="B11" s="102" t="s">
        <v>218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9" t="s">
        <v>119</v>
      </c>
      <c r="C12" s="100"/>
      <c r="D12" s="121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109</v>
      </c>
      <c r="C13" s="94"/>
      <c r="D13" s="94"/>
      <c r="E13" s="94"/>
      <c r="F13" s="95"/>
      <c r="G13" s="1"/>
    </row>
    <row r="14" spans="1:7" x14ac:dyDescent="0.25">
      <c r="A14" s="1"/>
      <c r="B14" s="102" t="s">
        <v>219</v>
      </c>
      <c r="C14" s="103"/>
      <c r="D14" s="104"/>
      <c r="E14" s="9">
        <v>668969</v>
      </c>
      <c r="F14" s="8" t="s">
        <v>3</v>
      </c>
      <c r="G14" s="1"/>
    </row>
    <row r="15" spans="1:7" x14ac:dyDescent="0.25">
      <c r="A15" s="1"/>
      <c r="B15" s="96" t="s">
        <v>220</v>
      </c>
      <c r="C15" s="97"/>
      <c r="D15" s="98"/>
      <c r="E15" s="9">
        <v>400000</v>
      </c>
      <c r="F15" s="8" t="s">
        <v>3</v>
      </c>
      <c r="G15" s="1"/>
    </row>
    <row r="16" spans="1:7" x14ac:dyDescent="0.25">
      <c r="A16" s="1"/>
      <c r="B16" s="99" t="s">
        <v>119</v>
      </c>
      <c r="C16" s="100"/>
      <c r="D16" s="121"/>
      <c r="E16" s="10">
        <f>E15-E14</f>
        <v>-268969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-268969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84KonDnPhKtRw88zW4Q1D4wRl9gotOxxtzXWtrjyQwzhZXIxMitpzEBTfKxZSsrNc+DLun856lKJFojme6CJw==" saltValue="+VmAjj7VKw5a//Tda9VTi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178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287</v>
      </c>
      <c r="C10" s="4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3" t="s">
        <v>179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AFeuTW/bq4AVO0gpHJp+a+UOWbs/8TnOqk9hFHS+J0S7CvjlGqc1j83CU5kLikq7l3yN+ozpHgh8jcNR2sMuA==" saltValue="TJKaMloHoIPwi1fsjKcqY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261</v>
      </c>
      <c r="C11" s="22">
        <v>45131</v>
      </c>
      <c r="D11" s="14" t="s">
        <v>3</v>
      </c>
      <c r="E11" s="9">
        <v>30282</v>
      </c>
      <c r="F11" s="14" t="s">
        <v>3</v>
      </c>
      <c r="G11" s="1"/>
    </row>
    <row r="12" spans="1:7" x14ac:dyDescent="0.25">
      <c r="A12" s="1"/>
      <c r="B12" s="46" t="s">
        <v>281</v>
      </c>
      <c r="C12" s="22">
        <v>247383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6" t="s">
        <v>282</v>
      </c>
      <c r="C13" s="22">
        <v>69980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25" t="s">
        <v>283</v>
      </c>
      <c r="C14" s="22">
        <v>118178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38" t="s">
        <v>163</v>
      </c>
      <c r="C15" s="12">
        <f>SUM(C10:C14)</f>
        <v>480672</v>
      </c>
      <c r="D15" s="13" t="s">
        <v>3</v>
      </c>
      <c r="E15" s="12">
        <f>SUM(E10:E14)</f>
        <v>30282</v>
      </c>
      <c r="F15" s="13" t="s">
        <v>3</v>
      </c>
      <c r="G15" s="1"/>
    </row>
    <row r="16" spans="1:7" x14ac:dyDescent="0.25">
      <c r="A16" s="1"/>
      <c r="B16" s="38" t="s">
        <v>222</v>
      </c>
      <c r="C16" s="12">
        <f>C15*(1+'Fane 14. Nøgletal'!C14)</f>
        <v>482258.21760000003</v>
      </c>
      <c r="D16" s="13" t="s">
        <v>3</v>
      </c>
      <c r="E16" s="12">
        <f>E15*(1+'Fane 14. Nøgletal'!C14)</f>
        <v>30381.930600000003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ApVFty4iiBM03elSdH0b0XJ9Z9D+XNI0CBpUmQYCCltHogScObtnIf4yxdh6VfrEopKf/HBLCafnWao3eQAcgQ==" saltValue="YCnxpo5IqbQ+RHJ+1LjZ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112</v>
      </c>
      <c r="C8" s="94"/>
      <c r="D8" s="94"/>
      <c r="E8" s="94"/>
      <c r="F8" s="95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281</v>
      </c>
      <c r="C10" s="22">
        <v>494766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282</v>
      </c>
      <c r="C11" s="22">
        <v>69980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5" t="s">
        <v>283</v>
      </c>
      <c r="C12" s="22">
        <v>1181781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8" t="s">
        <v>223</v>
      </c>
      <c r="C13" s="12">
        <f>SUM(C10:C12)</f>
        <v>1746527</v>
      </c>
      <c r="D13" s="13" t="s">
        <v>3</v>
      </c>
      <c r="E13" s="12">
        <f>SUM(E10:E12)</f>
        <v>0</v>
      </c>
      <c r="F13" s="13" t="s">
        <v>3</v>
      </c>
      <c r="G13" s="1"/>
    </row>
    <row r="14" spans="1:7" x14ac:dyDescent="0.25">
      <c r="A14" s="1"/>
      <c r="B14" s="27" t="s">
        <v>10</v>
      </c>
      <c r="C14" s="28">
        <f>-C13*'Fane 5. Individuelt eff. krav'!G12</f>
        <v>0</v>
      </c>
      <c r="D14" s="29" t="s">
        <v>3</v>
      </c>
      <c r="E14" s="28">
        <f>-E13*'Fane 5. Individuelt eff. krav'!G12</f>
        <v>0</v>
      </c>
      <c r="F14" s="29" t="s">
        <v>3</v>
      </c>
      <c r="G14" s="1"/>
    </row>
    <row r="15" spans="1:7" x14ac:dyDescent="0.25">
      <c r="A15" s="1"/>
      <c r="B15" s="27" t="s">
        <v>114</v>
      </c>
      <c r="C15" s="28">
        <f>-C13*'Fane 14. Nøgletal'!C29</f>
        <v>-34930.54</v>
      </c>
      <c r="D15" s="29" t="s">
        <v>3</v>
      </c>
      <c r="E15" s="28">
        <f>-E13*'Fane 14. Nøgletal'!C24</f>
        <v>0</v>
      </c>
      <c r="F15" s="29" t="s">
        <v>3</v>
      </c>
      <c r="G15" s="1"/>
    </row>
    <row r="16" spans="1:7" x14ac:dyDescent="0.25">
      <c r="A16" s="1"/>
      <c r="B16" s="38" t="s">
        <v>164</v>
      </c>
      <c r="C16" s="12">
        <f>SUM(C13:C15)*(1+'Fane 14. Nøgletal'!C14)^2</f>
        <v>1722911.6359214496</v>
      </c>
      <c r="D16" s="13" t="s">
        <v>3</v>
      </c>
      <c r="E16" s="12">
        <f>SUM(E13:E15)*(1+'Fane 14. Nøgletal'!C14)^2</f>
        <v>0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3" t="s">
        <v>113</v>
      </c>
      <c r="C18" s="94"/>
      <c r="D18" s="94"/>
      <c r="E18" s="94"/>
      <c r="F18" s="95"/>
      <c r="G18" s="1"/>
    </row>
    <row r="19" spans="1:7" x14ac:dyDescent="0.25">
      <c r="A19" s="1"/>
      <c r="B19" s="53" t="s">
        <v>18</v>
      </c>
      <c r="C19" s="53" t="s">
        <v>12</v>
      </c>
      <c r="D19" s="54"/>
      <c r="E19" s="53" t="s">
        <v>34</v>
      </c>
      <c r="F19" s="37"/>
      <c r="G19" s="1"/>
    </row>
    <row r="20" spans="1:7" x14ac:dyDescent="0.25">
      <c r="A20" s="1"/>
      <c r="B20" s="25" t="s">
        <v>284</v>
      </c>
      <c r="C20" s="22">
        <v>0</v>
      </c>
      <c r="D20" s="14" t="s">
        <v>3</v>
      </c>
      <c r="E20" s="9">
        <v>0</v>
      </c>
      <c r="F20" s="14" t="s">
        <v>3</v>
      </c>
      <c r="G20" s="1"/>
    </row>
    <row r="21" spans="1:7" x14ac:dyDescent="0.25">
      <c r="A21" s="1"/>
      <c r="B21" s="38" t="s">
        <v>223</v>
      </c>
      <c r="C21" s="12">
        <f>SUM(C20:C20)</f>
        <v>0</v>
      </c>
      <c r="D21" s="13" t="s">
        <v>3</v>
      </c>
      <c r="E21" s="12">
        <f>SUM(E20:E20)</f>
        <v>0</v>
      </c>
      <c r="F21" s="13" t="s">
        <v>3</v>
      </c>
      <c r="G21" s="1"/>
    </row>
    <row r="22" spans="1:7" x14ac:dyDescent="0.25">
      <c r="A22" s="1"/>
      <c r="B22" s="27" t="s">
        <v>10</v>
      </c>
      <c r="C22" s="28">
        <f>-C21*'Fane 5. Individuelt eff. krav'!G12</f>
        <v>0</v>
      </c>
      <c r="D22" s="29" t="s">
        <v>3</v>
      </c>
      <c r="E22" s="28">
        <f>-E21*'Fane 5. Individuelt eff. krav'!G12</f>
        <v>0</v>
      </c>
      <c r="F22" s="29" t="s">
        <v>3</v>
      </c>
      <c r="G22" s="1"/>
    </row>
    <row r="23" spans="1:7" x14ac:dyDescent="0.25">
      <c r="A23" s="1"/>
      <c r="B23" s="27" t="s">
        <v>114</v>
      </c>
      <c r="C23" s="28">
        <f>-C21*'Fane 14. Nøgletal'!C29</f>
        <v>0</v>
      </c>
      <c r="D23" s="29" t="s">
        <v>3</v>
      </c>
      <c r="E23" s="28">
        <f>-E21*'Fane 14. Nøgletal'!C24</f>
        <v>0</v>
      </c>
      <c r="F23" s="29" t="s">
        <v>3</v>
      </c>
      <c r="G23" s="1"/>
    </row>
    <row r="24" spans="1:7" x14ac:dyDescent="0.25">
      <c r="A24" s="1"/>
      <c r="B24" s="38" t="s">
        <v>165</v>
      </c>
      <c r="C24" s="12">
        <f>SUM(C21:C23)*(1+'Fane 14. Nøgletal'!C14)^3</f>
        <v>0</v>
      </c>
      <c r="D24" s="13" t="s">
        <v>3</v>
      </c>
      <c r="E24" s="12">
        <f>SUM(E21:E23)*(1+'Fane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166</v>
      </c>
      <c r="C26" s="94"/>
      <c r="D26" s="94"/>
      <c r="E26" s="94"/>
      <c r="F26" s="95"/>
      <c r="G26" s="1"/>
    </row>
    <row r="27" spans="1:7" x14ac:dyDescent="0.25">
      <c r="A27" s="1"/>
      <c r="B27" s="53" t="s">
        <v>18</v>
      </c>
      <c r="C27" s="53" t="s">
        <v>12</v>
      </c>
      <c r="D27" s="54"/>
      <c r="E27" s="53" t="s">
        <v>34</v>
      </c>
      <c r="F27" s="37"/>
      <c r="G27" s="1"/>
    </row>
    <row r="28" spans="1:7" x14ac:dyDescent="0.25">
      <c r="A28" s="1"/>
      <c r="B28" s="25" t="s">
        <v>284</v>
      </c>
      <c r="C28" s="22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223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27" t="s">
        <v>10</v>
      </c>
      <c r="C30" s="28">
        <f>-C29*'Fane 5. Individuelt eff. krav'!G12</f>
        <v>0</v>
      </c>
      <c r="D30" s="29" t="s">
        <v>3</v>
      </c>
      <c r="E30" s="28">
        <f>-E29*'Fane 5. Individuelt eff. krav'!G12</f>
        <v>0</v>
      </c>
      <c r="F30" s="29" t="s">
        <v>3</v>
      </c>
      <c r="G30" s="1"/>
    </row>
    <row r="31" spans="1:7" x14ac:dyDescent="0.25">
      <c r="A31" s="1"/>
      <c r="B31" s="27" t="s">
        <v>114</v>
      </c>
      <c r="C31" s="28">
        <f>-C29*'Fane 14. Nøgletal'!C29</f>
        <v>0</v>
      </c>
      <c r="D31" s="29" t="s">
        <v>3</v>
      </c>
      <c r="E31" s="28">
        <f>-E29*'Fane 14. Nøgletal'!C24</f>
        <v>0</v>
      </c>
      <c r="F31" s="29" t="s">
        <v>3</v>
      </c>
      <c r="G31" s="1"/>
    </row>
    <row r="32" spans="1:7" x14ac:dyDescent="0.25">
      <c r="A32" s="1"/>
      <c r="B32" s="38" t="s">
        <v>167</v>
      </c>
      <c r="C32" s="12">
        <f>SUM(C29:C31)*(1+'Fane 14. Nøgletal'!C14)^4</f>
        <v>0</v>
      </c>
      <c r="D32" s="13" t="s">
        <v>3</v>
      </c>
      <c r="E32" s="12">
        <f>SUM(E29:E31)*(1+'Fane 14. Nøgletal'!C14)^4</f>
        <v>0</v>
      </c>
      <c r="F32" s="13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3" t="s">
        <v>224</v>
      </c>
      <c r="C34" s="94"/>
      <c r="D34" s="94"/>
      <c r="E34" s="94"/>
      <c r="F34" s="95"/>
      <c r="G34" s="1"/>
    </row>
    <row r="35" spans="1:7" x14ac:dyDescent="0.25">
      <c r="A35" s="1"/>
      <c r="B35" s="53" t="s">
        <v>18</v>
      </c>
      <c r="C35" s="53" t="s">
        <v>12</v>
      </c>
      <c r="D35" s="54"/>
      <c r="E35" s="53" t="s">
        <v>34</v>
      </c>
      <c r="F35" s="37"/>
      <c r="G35" s="1"/>
    </row>
    <row r="36" spans="1:7" x14ac:dyDescent="0.25">
      <c r="A36" s="1"/>
      <c r="B36" s="25" t="s">
        <v>284</v>
      </c>
      <c r="C36" s="22">
        <v>0</v>
      </c>
      <c r="D36" s="14" t="s">
        <v>3</v>
      </c>
      <c r="E36" s="9">
        <v>0</v>
      </c>
      <c r="F36" s="14" t="s">
        <v>3</v>
      </c>
      <c r="G36" s="1"/>
    </row>
    <row r="37" spans="1:7" x14ac:dyDescent="0.25">
      <c r="A37" s="1"/>
      <c r="B37" s="38" t="s">
        <v>223</v>
      </c>
      <c r="C37" s="12">
        <f>SUM(C36:C36)</f>
        <v>0</v>
      </c>
      <c r="D37" s="13" t="s">
        <v>3</v>
      </c>
      <c r="E37" s="12">
        <f>SUM(E36:E36)</f>
        <v>0</v>
      </c>
      <c r="F37" s="13" t="s">
        <v>3</v>
      </c>
      <c r="G37" s="1"/>
    </row>
    <row r="38" spans="1:7" x14ac:dyDescent="0.25">
      <c r="A38" s="1"/>
      <c r="B38" s="27" t="s">
        <v>10</v>
      </c>
      <c r="C38" s="28">
        <f>-C37*'Fane 5. Individuelt eff. krav'!G12</f>
        <v>0</v>
      </c>
      <c r="D38" s="29" t="s">
        <v>3</v>
      </c>
      <c r="E38" s="28">
        <f>-E37*'Fane 5. Individuelt eff. krav'!G12</f>
        <v>0</v>
      </c>
      <c r="F38" s="29" t="s">
        <v>3</v>
      </c>
      <c r="G38" s="1"/>
    </row>
    <row r="39" spans="1:7" x14ac:dyDescent="0.25">
      <c r="A39" s="1"/>
      <c r="B39" s="27" t="s">
        <v>114</v>
      </c>
      <c r="C39" s="28">
        <f>-C37*'Fane 14. Nøgletal'!C29</f>
        <v>0</v>
      </c>
      <c r="D39" s="29" t="s">
        <v>3</v>
      </c>
      <c r="E39" s="28">
        <f>-E37*'Fane 14. Nøgletal'!C24</f>
        <v>0</v>
      </c>
      <c r="F39" s="29" t="s">
        <v>3</v>
      </c>
      <c r="G39" s="1"/>
    </row>
    <row r="40" spans="1:7" x14ac:dyDescent="0.25">
      <c r="A40" s="1"/>
      <c r="B40" s="38" t="s">
        <v>225</v>
      </c>
      <c r="C40" s="12">
        <f>SUM(C37:C39)*(1+'Fane 14. Nøgletal'!C14)^5</f>
        <v>0</v>
      </c>
      <c r="D40" s="13" t="s">
        <v>3</v>
      </c>
      <c r="E40" s="12">
        <f>SUM(E37:E39)*(1+'Fane 14. Nøgletal'!C14)^5</f>
        <v>0</v>
      </c>
      <c r="F40" s="13" t="s">
        <v>3</v>
      </c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ArwWWMZG5oCZLYYGfc69LEskP/LukIGCwnEybsv+4IWYryOj4Ek/zv+UarCtTFel6/hLVLjV2pKagOQfo/jx5w==" saltValue="DWfOukRx9tAgfHqkIYe5Ow==" spinCount="100000" sheet="1" objects="1" scenarios="1"/>
  <mergeCells count="5">
    <mergeCell ref="B3:F4"/>
    <mergeCell ref="B8:F8"/>
    <mergeCell ref="B18:F18"/>
    <mergeCell ref="B26:F26"/>
    <mergeCell ref="B34:F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136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01"/>
      <c r="C5" s="101"/>
      <c r="D5" s="101"/>
      <c r="E5" s="101"/>
      <c r="F5" s="10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103</v>
      </c>
      <c r="C8" s="94"/>
      <c r="D8" s="94"/>
      <c r="E8" s="94"/>
      <c r="F8" s="95"/>
      <c r="G8" s="1"/>
    </row>
    <row r="9" spans="1:7" x14ac:dyDescent="0.25">
      <c r="A9" s="1"/>
      <c r="B9" s="122" t="s">
        <v>226</v>
      </c>
      <c r="C9" s="123"/>
      <c r="D9" s="124"/>
      <c r="E9" s="9">
        <v>0</v>
      </c>
      <c r="F9" s="14" t="s">
        <v>3</v>
      </c>
      <c r="G9" s="1"/>
    </row>
    <row r="10" spans="1:7" x14ac:dyDescent="0.25">
      <c r="A10" s="1"/>
      <c r="B10" s="87" t="s">
        <v>10</v>
      </c>
      <c r="C10" s="88"/>
      <c r="D10" s="89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7" t="s">
        <v>26</v>
      </c>
      <c r="C11" s="88"/>
      <c r="D11" s="89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3" t="s">
        <v>105</v>
      </c>
      <c r="C12" s="94"/>
      <c r="D12" s="95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104</v>
      </c>
      <c r="C14" s="94"/>
      <c r="D14" s="94"/>
      <c r="E14" s="94"/>
      <c r="F14" s="95"/>
      <c r="G14" s="1"/>
    </row>
    <row r="15" spans="1:7" ht="15" customHeight="1" x14ac:dyDescent="0.25">
      <c r="A15" s="1"/>
      <c r="B15" s="122" t="s">
        <v>226</v>
      </c>
      <c r="C15" s="123"/>
      <c r="D15" s="124"/>
      <c r="E15" s="9">
        <v>0</v>
      </c>
      <c r="F15" s="14" t="s">
        <v>3</v>
      </c>
      <c r="G15" s="1"/>
    </row>
    <row r="16" spans="1:7" x14ac:dyDescent="0.25">
      <c r="A16" s="1"/>
      <c r="B16" s="87" t="s">
        <v>10</v>
      </c>
      <c r="C16" s="88"/>
      <c r="D16" s="89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7" t="s">
        <v>26</v>
      </c>
      <c r="C17" s="88"/>
      <c r="D17" s="89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3" t="s">
        <v>106</v>
      </c>
      <c r="C18" s="94"/>
      <c r="D18" s="95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155</v>
      </c>
      <c r="C20" s="94"/>
      <c r="D20" s="94"/>
      <c r="E20" s="94"/>
      <c r="F20" s="95"/>
      <c r="G20" s="1"/>
    </row>
    <row r="21" spans="1:7" ht="15" customHeight="1" x14ac:dyDescent="0.25">
      <c r="A21" s="1"/>
      <c r="B21" s="122" t="s">
        <v>226</v>
      </c>
      <c r="C21" s="123"/>
      <c r="D21" s="124"/>
      <c r="E21" s="9">
        <v>0</v>
      </c>
      <c r="F21" s="14" t="s">
        <v>3</v>
      </c>
      <c r="G21" s="1"/>
    </row>
    <row r="22" spans="1:7" x14ac:dyDescent="0.25">
      <c r="A22" s="1"/>
      <c r="B22" s="87" t="s">
        <v>10</v>
      </c>
      <c r="C22" s="88"/>
      <c r="D22" s="89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7" t="s">
        <v>26</v>
      </c>
      <c r="C23" s="88"/>
      <c r="D23" s="89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3" t="s">
        <v>156</v>
      </c>
      <c r="C24" s="94"/>
      <c r="D24" s="95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227</v>
      </c>
      <c r="C26" s="94"/>
      <c r="D26" s="94"/>
      <c r="E26" s="94"/>
      <c r="F26" s="95"/>
      <c r="G26" s="1"/>
    </row>
    <row r="27" spans="1:7" ht="15" customHeight="1" x14ac:dyDescent="0.25">
      <c r="A27" s="1"/>
      <c r="B27" s="122" t="s">
        <v>226</v>
      </c>
      <c r="C27" s="123"/>
      <c r="D27" s="124"/>
      <c r="E27" s="9">
        <v>0</v>
      </c>
      <c r="F27" s="14" t="s">
        <v>3</v>
      </c>
      <c r="G27" s="1"/>
    </row>
    <row r="28" spans="1:7" x14ac:dyDescent="0.25">
      <c r="A28" s="1"/>
      <c r="B28" s="87" t="s">
        <v>10</v>
      </c>
      <c r="C28" s="88"/>
      <c r="D28" s="89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7" t="s">
        <v>26</v>
      </c>
      <c r="C29" s="88"/>
      <c r="D29" s="89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3" t="s">
        <v>228</v>
      </c>
      <c r="C30" s="94"/>
      <c r="D30" s="95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idiibx82u9ODxMdiyTdg5MfHji4sDrMMZzBkc5otUQ+taNvEXMHGmz/2lCKPIaZHGUcJOsw2aXtlIWxTGFHeeg==" saltValue="9e2JIaT8R/IlM6ilAhpAH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157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158</v>
      </c>
      <c r="C8" s="94"/>
      <c r="D8" s="94"/>
      <c r="E8" s="94"/>
      <c r="F8" s="95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Glo5qppkIHeS4V7ZY9fmpRgBOTks2/mnYrn3IBcBO41nJQOXFKfJNFNqPGhqFiJuk/d8YWo96IZ0AZvPu1E9qw==" saltValue="3vtC506tH93LbNNJ+LLb9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133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107</v>
      </c>
      <c r="C8" s="94"/>
      <c r="D8" s="94"/>
      <c r="E8" s="94"/>
      <c r="F8" s="95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108</v>
      </c>
      <c r="C14" s="94"/>
      <c r="D14" s="94"/>
      <c r="E14" s="94"/>
      <c r="F14" s="95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169</v>
      </c>
      <c r="C20" s="94"/>
      <c r="D20" s="94"/>
      <c r="E20" s="94"/>
      <c r="F20" s="95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231</v>
      </c>
      <c r="C26" s="94"/>
      <c r="D26" s="94"/>
      <c r="E26" s="94"/>
      <c r="F26" s="95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HALDTU2rjrTN0U1+0AZQk0yVCjyvKmH5oAGitxFAJUKt4eEQIl3Y0uEU2r7FXsa76XKc+UllthCJofLlYzucw==" saltValue="lQxFeRrhc4cdsgfFn4fiz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1" t="s">
        <v>189</v>
      </c>
      <c r="C3" s="101"/>
      <c r="D3" s="1"/>
    </row>
    <row r="4" spans="1:4" ht="25.5" customHeight="1" x14ac:dyDescent="0.25">
      <c r="A4" s="1"/>
      <c r="B4" s="101"/>
      <c r="C4" s="10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49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FcEgKTJJkdwjPPYuoprie+NmqvMPr2agJYOcQ2pPqA2GdIFNwNtCenagtc8rSKtssXosfT6m8VLQfkEH5Ik8rw==" saltValue="tWWt95ztd7G5o9jZZWtCb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194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32732582.345357303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tillæg'!C16</f>
        <v>482258.21760000003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tillæg'!E16</f>
        <v>30381.930600000003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109709.23422873909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drift'!G38</f>
        <v>-142245.47554132508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-388542.23113488976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32824144.021109823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25064006.166821465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Engangstillæg'!C16</f>
        <v>1722911.6359214496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Engangstillæg'!E16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1722911.6359214496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289</v>
      </c>
      <c r="C30" s="10">
        <f>'Fane 7. Kontrol af ØR2020'!E34</f>
        <v>-445115.61793236062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-268969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58896977.205920376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vvzMH/Kk8TSi5eGD+BJ+sdCbDSG2/6Ol12b/qs28UIdeOZX2o+ZLFF2wzGCpR4IyNEoG08FazxXmrlNiEi7uw==" saltValue="mT1z4fTR1z7B7FCs3OYqf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/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32824144.021109823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108319.67526966242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drift'!G45</f>
        <v>-139860.58789839924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-384055.01907426992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32408548.089406818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25130865.443771977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Engangstillæg'!C24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Engangstillæg'!E24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289</v>
      </c>
      <c r="C26" s="10">
        <f>'Fane 7. Kontrol af ØR2020'!E34</f>
        <v>-445115.61793236062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57094297.915246427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E1CxBuF0izXXKGPVvzvRmwHNXS069M+TguAFmI5fx44ZBj4mTIE4oPYkRM5t/brSxCU913v8urpoJ8JTrh3EQ==" saltValue="7WKIUImt5LHh4vhrxRsHJ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197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32408548.089406818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106948.2086950425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-137515.68528169469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-379619.62910778431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31998360.983712383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25197990.681836426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57196351.665548809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P6HVbXEC0xBIbnqF0tsvU2ACt0hbP8avD5Kk9W212ruMN/6n87yR/735YO9rTLWHFbuO3MQQvc3K+S34gZa/A==" saltValue="Kd4KjLbam3pjTuJwHgDR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198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31998360.983712383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105594.59124625086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-135210.0973022618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-375235.46275035921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31593510.014906012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25265382.75868649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Engangstillæg'!C40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Engangstillæg'!E40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56858892.773592502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pbtumHOOcfd01FFSSmau6t+rzwd8TXIZJ47roZoOMcwvFyLch2/tWTf2NBgOvfBPD06a6LgwzFK/UGAfVe68Bw==" saltValue="6xD2Y0suNwsMOpKvY+KT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250</v>
      </c>
      <c r="C3" s="101"/>
      <c r="D3" s="101"/>
      <c r="E3" s="101"/>
      <c r="F3" s="101"/>
      <c r="G3" s="1"/>
    </row>
    <row r="4" spans="1:7" ht="29.2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280</v>
      </c>
      <c r="C8" s="32"/>
      <c r="D8" s="32"/>
      <c r="E8" s="32"/>
      <c r="F8" s="20"/>
      <c r="G8" s="1"/>
    </row>
    <row r="9" spans="1:7" ht="15" customHeight="1" x14ac:dyDescent="0.25">
      <c r="A9" s="1"/>
      <c r="B9" s="96" t="s">
        <v>25</v>
      </c>
      <c r="C9" s="97"/>
      <c r="D9" s="98"/>
      <c r="E9" s="7">
        <v>32862794.958934329</v>
      </c>
      <c r="F9" s="8" t="s">
        <v>3</v>
      </c>
      <c r="G9" s="1"/>
    </row>
    <row r="10" spans="1:7" ht="15" customHeight="1" x14ac:dyDescent="0.25">
      <c r="A10" s="1"/>
      <c r="B10" s="87" t="s">
        <v>43</v>
      </c>
      <c r="C10" s="88"/>
      <c r="D10" s="89"/>
      <c r="E10" s="7">
        <v>80173.325400000002</v>
      </c>
      <c r="F10" s="8" t="s">
        <v>3</v>
      </c>
      <c r="G10" s="1"/>
    </row>
    <row r="11" spans="1:7" ht="15" customHeight="1" x14ac:dyDescent="0.25">
      <c r="A11" s="1"/>
      <c r="B11" s="87" t="s">
        <v>44</v>
      </c>
      <c r="C11" s="88"/>
      <c r="D11" s="89"/>
      <c r="E11" s="9">
        <v>39511.226999999999</v>
      </c>
      <c r="F11" s="8" t="s">
        <v>3</v>
      </c>
      <c r="G11" s="1"/>
    </row>
    <row r="12" spans="1:7" ht="15" customHeight="1" x14ac:dyDescent="0.25">
      <c r="A12" s="1"/>
      <c r="B12" s="87" t="s">
        <v>29</v>
      </c>
      <c r="C12" s="88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96" t="s">
        <v>28</v>
      </c>
      <c r="C13" s="97"/>
      <c r="D13" s="98"/>
      <c r="E13" s="9">
        <v>0</v>
      </c>
      <c r="F13" s="8" t="s">
        <v>3</v>
      </c>
      <c r="G13" s="1"/>
    </row>
    <row r="14" spans="1:7" ht="15" customHeight="1" x14ac:dyDescent="0.25">
      <c r="A14" s="1"/>
      <c r="B14" s="96" t="s">
        <v>31</v>
      </c>
      <c r="C14" s="97"/>
      <c r="D14" s="98"/>
      <c r="E14" s="9">
        <v>0</v>
      </c>
      <c r="F14" s="8" t="s">
        <v>3</v>
      </c>
      <c r="G14" s="1"/>
    </row>
    <row r="15" spans="1:7" ht="15" customHeight="1" x14ac:dyDescent="0.25">
      <c r="A15" s="1"/>
      <c r="B15" s="96" t="s">
        <v>30</v>
      </c>
      <c r="C15" s="97"/>
      <c r="D15" s="98"/>
      <c r="E15" s="9">
        <v>0</v>
      </c>
      <c r="F15" s="8" t="s">
        <v>3</v>
      </c>
      <c r="G15" s="1"/>
    </row>
    <row r="16" spans="1:7" ht="15" customHeight="1" x14ac:dyDescent="0.25">
      <c r="A16" s="1"/>
      <c r="B16" s="96" t="s">
        <v>20</v>
      </c>
      <c r="C16" s="97"/>
      <c r="D16" s="98"/>
      <c r="E16" s="9">
        <v>648857.21223028621</v>
      </c>
      <c r="F16" s="8" t="s">
        <v>3</v>
      </c>
      <c r="G16" s="1"/>
    </row>
    <row r="17" spans="1:7" ht="15" customHeight="1" x14ac:dyDescent="0.25">
      <c r="A17" s="1"/>
      <c r="B17" s="96" t="s">
        <v>10</v>
      </c>
      <c r="C17" s="97"/>
      <c r="D17" s="98"/>
      <c r="E17" s="9">
        <v>0</v>
      </c>
      <c r="F17" s="8" t="s">
        <v>3</v>
      </c>
      <c r="G17" s="1"/>
    </row>
    <row r="18" spans="1:7" ht="15" customHeight="1" x14ac:dyDescent="0.25">
      <c r="A18" s="1"/>
      <c r="B18" s="96" t="s">
        <v>26</v>
      </c>
      <c r="C18" s="97"/>
      <c r="D18" s="98"/>
      <c r="E18" s="9">
        <f>-'Fane 4.1. Gen. krav - drift'!G32</f>
        <v>-134829.02559000551</v>
      </c>
      <c r="F18" s="8" t="s">
        <v>3</v>
      </c>
      <c r="G18" s="1"/>
    </row>
    <row r="19" spans="1:7" ht="15" customHeight="1" x14ac:dyDescent="0.25">
      <c r="A19" s="1"/>
      <c r="B19" s="96" t="s">
        <v>27</v>
      </c>
      <c r="C19" s="97"/>
      <c r="D19" s="98"/>
      <c r="E19" s="9">
        <f>-'Fane 4.2. Gen. krav - anlæg'!G31</f>
        <v>-763925.35261730687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5"/>
      <c r="E20" s="10">
        <f>SUM(E9:E19)</f>
        <v>32732582.345357303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0" t="s">
        <v>13</v>
      </c>
      <c r="C22" s="91"/>
      <c r="D22" s="92"/>
      <c r="E22" s="10">
        <v>24993475.707204882</v>
      </c>
      <c r="F22" s="11" t="s">
        <v>3</v>
      </c>
      <c r="G22" s="1"/>
    </row>
    <row r="23" spans="1:7" ht="15" customHeight="1" x14ac:dyDescent="0.25">
      <c r="A23" s="1"/>
      <c r="B23" s="93" t="s">
        <v>94</v>
      </c>
      <c r="C23" s="94"/>
      <c r="D23" s="95"/>
      <c r="E23" s="32"/>
      <c r="F23" s="32"/>
      <c r="G23" s="1"/>
    </row>
    <row r="24" spans="1:7" ht="15" customHeight="1" x14ac:dyDescent="0.25">
      <c r="A24" s="1"/>
      <c r="B24" s="58" t="s">
        <v>94</v>
      </c>
      <c r="C24" s="42"/>
      <c r="D24" s="43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7" t="s">
        <v>89</v>
      </c>
      <c r="C26" s="88"/>
      <c r="D26" s="89"/>
      <c r="E26" s="9">
        <v>0</v>
      </c>
      <c r="F26" s="8" t="s">
        <v>3</v>
      </c>
      <c r="G26" s="1"/>
    </row>
    <row r="27" spans="1:7" ht="15" customHeight="1" x14ac:dyDescent="0.25">
      <c r="A27" s="1"/>
      <c r="B27" s="87" t="s">
        <v>90</v>
      </c>
      <c r="C27" s="88"/>
      <c r="D27" s="88"/>
      <c r="E27" s="9">
        <v>0</v>
      </c>
      <c r="F27" s="8" t="s">
        <v>3</v>
      </c>
      <c r="G27" s="1"/>
    </row>
    <row r="28" spans="1:7" ht="15" customHeight="1" x14ac:dyDescent="0.25">
      <c r="A28" s="1"/>
      <c r="B28" s="99" t="s">
        <v>95</v>
      </c>
      <c r="C28" s="100"/>
      <c r="D28" s="100"/>
      <c r="E28" s="44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0" t="s">
        <v>185</v>
      </c>
      <c r="C30" s="91"/>
      <c r="D30" s="91"/>
      <c r="E30" s="44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0" t="s">
        <v>148</v>
      </c>
      <c r="C32" s="91"/>
      <c r="D32" s="92"/>
      <c r="E32" s="10">
        <v>-282704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57443354.052562185</v>
      </c>
      <c r="F33" s="13" t="s">
        <v>3</v>
      </c>
      <c r="G33" s="1"/>
    </row>
    <row r="34" spans="1:7" ht="27" customHeight="1" x14ac:dyDescent="0.25">
      <c r="A34" s="1"/>
      <c r="B34" s="96" t="s">
        <v>252</v>
      </c>
      <c r="C34" s="97"/>
      <c r="D34" s="97"/>
      <c r="E34" s="97"/>
      <c r="F34" s="9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QpzyzAgrU7iHMprF+3v5M0eQfvqkbXswNFDq/gKHj4X8JKmuBKgC4Zp207ZrEMb/vd8TG2IEFvyTixlr2nMMg==" saltValue="zlUZXsNITmoSCBFC0MlT/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1" t="s">
        <v>130</v>
      </c>
      <c r="C1" s="101"/>
      <c r="D1" s="101"/>
      <c r="E1" s="101"/>
      <c r="F1" s="101"/>
      <c r="G1" s="101"/>
      <c r="H1" s="101"/>
      <c r="I1" s="1"/>
    </row>
    <row r="2" spans="1:9" ht="28.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x14ac:dyDescent="0.25">
      <c r="A3" s="1"/>
      <c r="B3" s="93" t="s">
        <v>56</v>
      </c>
      <c r="C3" s="94"/>
      <c r="D3" s="94"/>
      <c r="E3" s="94"/>
      <c r="F3" s="94"/>
      <c r="G3" s="94"/>
      <c r="H3" s="95"/>
      <c r="I3" s="1"/>
    </row>
    <row r="4" spans="1:9" x14ac:dyDescent="0.25">
      <c r="A4" s="1"/>
      <c r="B4" s="102" t="s">
        <v>45</v>
      </c>
      <c r="C4" s="103"/>
      <c r="D4" s="103"/>
      <c r="E4" s="103"/>
      <c r="F4" s="104"/>
      <c r="G4" s="24">
        <v>6689761.2848035982</v>
      </c>
      <c r="H4" s="14" t="s">
        <v>3</v>
      </c>
      <c r="I4" s="1"/>
    </row>
    <row r="5" spans="1:9" x14ac:dyDescent="0.25">
      <c r="A5" s="1"/>
      <c r="B5" s="96" t="s">
        <v>145</v>
      </c>
      <c r="C5" s="97"/>
      <c r="D5" s="97"/>
      <c r="E5" s="97"/>
      <c r="F5" s="98"/>
      <c r="G5" s="9">
        <v>0</v>
      </c>
      <c r="H5" s="14" t="s">
        <v>3</v>
      </c>
      <c r="I5" s="1"/>
    </row>
    <row r="6" spans="1:9" x14ac:dyDescent="0.25">
      <c r="A6" s="1"/>
      <c r="B6" s="102" t="s">
        <v>46</v>
      </c>
      <c r="C6" s="103"/>
      <c r="D6" s="103"/>
      <c r="E6" s="103"/>
      <c r="F6" s="104"/>
      <c r="G6" s="24">
        <f>SUM(G4:G5)*'Fane 14. Nøgletal'!C29</f>
        <v>133795.22569607195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57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6670695.4651419083</v>
      </c>
      <c r="H10" s="14" t="s">
        <v>3</v>
      </c>
      <c r="I10" s="1"/>
    </row>
    <row r="11" spans="1:9" ht="15" customHeight="1" x14ac:dyDescent="0.25">
      <c r="A11" s="1"/>
      <c r="B11" s="102" t="s">
        <v>146</v>
      </c>
      <c r="C11" s="103"/>
      <c r="D11" s="103"/>
      <c r="E11" s="103"/>
      <c r="F11" s="104"/>
      <c r="G11" s="9">
        <v>0</v>
      </c>
      <c r="H11" s="14" t="s">
        <v>3</v>
      </c>
      <c r="I11" s="1"/>
    </row>
    <row r="12" spans="1:9" x14ac:dyDescent="0.25">
      <c r="A12" s="1"/>
      <c r="B12" s="96" t="s">
        <v>143</v>
      </c>
      <c r="C12" s="97"/>
      <c r="D12" s="97"/>
      <c r="E12" s="97"/>
      <c r="F12" s="98"/>
      <c r="G12" s="9">
        <v>0</v>
      </c>
      <c r="H12" s="14" t="s">
        <v>3</v>
      </c>
      <c r="I12" s="1"/>
    </row>
    <row r="13" spans="1:9" x14ac:dyDescent="0.25">
      <c r="A13" s="1"/>
      <c r="B13" s="105" t="s">
        <v>48</v>
      </c>
      <c r="C13" s="106"/>
      <c r="D13" s="106"/>
      <c r="E13" s="106"/>
      <c r="F13" s="107"/>
      <c r="G13" s="9">
        <v>0</v>
      </c>
      <c r="H13" s="14" t="s">
        <v>3</v>
      </c>
      <c r="I13" s="1"/>
    </row>
    <row r="14" spans="1:9" x14ac:dyDescent="0.2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133413.90930283818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58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6651683.9830662543</v>
      </c>
      <c r="H18" s="14" t="s">
        <v>3</v>
      </c>
      <c r="I18" s="1"/>
    </row>
    <row r="19" spans="1:9" x14ac:dyDescent="0.25">
      <c r="A19" s="1"/>
      <c r="B19" s="105" t="s">
        <v>51</v>
      </c>
      <c r="C19" s="106"/>
      <c r="D19" s="106"/>
      <c r="E19" s="106"/>
      <c r="F19" s="107"/>
      <c r="G19" s="24">
        <v>8164.105890949998</v>
      </c>
      <c r="H19" s="14" t="s">
        <v>3</v>
      </c>
      <c r="I19" s="1"/>
    </row>
    <row r="20" spans="1:9" x14ac:dyDescent="0.2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133196.9617791441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3" t="s">
        <v>59</v>
      </c>
      <c r="C23" s="94"/>
      <c r="D23" s="94"/>
      <c r="E23" s="94"/>
      <c r="F23" s="94"/>
      <c r="G23" s="94"/>
      <c r="H23" s="95"/>
      <c r="I23" s="1"/>
    </row>
    <row r="24" spans="1:9" x14ac:dyDescent="0.2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6655226.1543834694</v>
      </c>
      <c r="H24" s="14" t="s">
        <v>3</v>
      </c>
      <c r="I24" s="1"/>
    </row>
    <row r="25" spans="1:9" x14ac:dyDescent="0.25">
      <c r="A25" s="1"/>
      <c r="B25" s="105" t="s">
        <v>54</v>
      </c>
      <c r="C25" s="106"/>
      <c r="D25" s="106"/>
      <c r="E25" s="106"/>
      <c r="F25" s="107"/>
      <c r="G25" s="24">
        <v>9699.1433035200007</v>
      </c>
      <c r="H25" s="14" t="s">
        <v>3</v>
      </c>
      <c r="I25" s="1"/>
    </row>
    <row r="26" spans="1:9" x14ac:dyDescent="0.2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133298.5059537398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6660299.8395303953</v>
      </c>
      <c r="H30" s="14" t="s">
        <v>3</v>
      </c>
      <c r="I30" s="1"/>
    </row>
    <row r="31" spans="1:9" x14ac:dyDescent="0.25">
      <c r="A31" s="1"/>
      <c r="B31" s="102" t="s">
        <v>171</v>
      </c>
      <c r="C31" s="103"/>
      <c r="D31" s="103"/>
      <c r="E31" s="103"/>
      <c r="F31" s="104"/>
      <c r="G31" s="24">
        <v>81151.439969879997</v>
      </c>
      <c r="H31" s="14" t="s">
        <v>3</v>
      </c>
      <c r="I31" s="1"/>
    </row>
    <row r="32" spans="1:9" x14ac:dyDescent="0.2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134829.02559000551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3" t="s">
        <v>232</v>
      </c>
      <c r="C35" s="94"/>
      <c r="D35" s="94"/>
      <c r="E35" s="94"/>
      <c r="F35" s="94"/>
      <c r="G35" s="94"/>
      <c r="H35" s="95"/>
      <c r="I35" s="1"/>
    </row>
    <row r="36" spans="1:9" x14ac:dyDescent="0.2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6628424.1073481739</v>
      </c>
      <c r="H36" s="14" t="s">
        <v>3</v>
      </c>
      <c r="I36" s="1"/>
    </row>
    <row r="37" spans="1:9" x14ac:dyDescent="0.25">
      <c r="A37" s="1"/>
      <c r="B37" s="102" t="s">
        <v>236</v>
      </c>
      <c r="C37" s="103"/>
      <c r="D37" s="103"/>
      <c r="E37" s="103"/>
      <c r="F37" s="104"/>
      <c r="G37" s="24">
        <f>SUM('Fane 2.1. Økonomisk ramme 2022'!C10,'Fane 2.1. Økonomisk ramme 2022'!C12,'Fane 2.1. Økonomisk ramme 2022'!C14)*(1+'Fane 14. Nøgletal'!C14)</f>
        <v>483849.66971808008</v>
      </c>
      <c r="H37" s="14" t="s">
        <v>3</v>
      </c>
      <c r="I37" s="1"/>
    </row>
    <row r="38" spans="1:9" x14ac:dyDescent="0.2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142245.47554132508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3" t="s">
        <v>233</v>
      </c>
      <c r="C41" s="94"/>
      <c r="D41" s="94"/>
      <c r="E41" s="94"/>
      <c r="F41" s="94"/>
      <c r="G41" s="94"/>
      <c r="H41" s="95"/>
      <c r="I41" s="1"/>
    </row>
    <row r="42" spans="1:9" x14ac:dyDescent="0.2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6993029.3949199617</v>
      </c>
      <c r="H42" s="14" t="s">
        <v>3</v>
      </c>
      <c r="I42" s="1"/>
    </row>
    <row r="43" spans="1:9" x14ac:dyDescent="0.25">
      <c r="A43" s="1"/>
      <c r="B43" s="108" t="s">
        <v>237</v>
      </c>
      <c r="C43" s="109"/>
      <c r="D43" s="109"/>
      <c r="E43" s="109"/>
      <c r="F43" s="110"/>
      <c r="G43" s="24">
        <f>G37*(1+'Fane 14. Nøgletal'!C14)</f>
        <v>485446.3736281498</v>
      </c>
      <c r="H43" s="14" t="s">
        <v>3</v>
      </c>
      <c r="I43" s="1"/>
    </row>
    <row r="44" spans="1:9" x14ac:dyDescent="0.2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2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139860.58789839924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3" t="s">
        <v>172</v>
      </c>
      <c r="C51" s="94"/>
      <c r="D51" s="94"/>
      <c r="E51" s="94"/>
      <c r="F51" s="94"/>
      <c r="G51" s="94"/>
      <c r="H51" s="95"/>
      <c r="I51" s="1"/>
    </row>
    <row r="52" spans="1:9" x14ac:dyDescent="0.25">
      <c r="A52" s="1"/>
      <c r="B52" s="102" t="s">
        <v>173</v>
      </c>
      <c r="C52" s="103"/>
      <c r="D52" s="103"/>
      <c r="E52" s="103"/>
      <c r="F52" s="104"/>
      <c r="G52" s="24">
        <f>(G42+G44-G45)*(1+'Fane 14. Nøgletal'!C14)</f>
        <v>6875784.264084734</v>
      </c>
      <c r="H52" s="14" t="s">
        <v>3</v>
      </c>
      <c r="I52" s="1"/>
    </row>
    <row r="53" spans="1:9" x14ac:dyDescent="0.25">
      <c r="A53" s="1"/>
      <c r="B53" s="102" t="s">
        <v>174</v>
      </c>
      <c r="C53" s="103"/>
      <c r="D53" s="103"/>
      <c r="E53" s="103"/>
      <c r="F53" s="104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2" t="s">
        <v>175</v>
      </c>
      <c r="C54" s="103"/>
      <c r="D54" s="103"/>
      <c r="E54" s="103"/>
      <c r="F54" s="104"/>
      <c r="G54" s="24">
        <f>(G52+G53)*'Fane 14. Nøgletal'!C29</f>
        <v>137515.68528169469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3" t="s">
        <v>201</v>
      </c>
      <c r="C57" s="94"/>
      <c r="D57" s="94"/>
      <c r="E57" s="94"/>
      <c r="F57" s="94"/>
      <c r="G57" s="94"/>
      <c r="H57" s="95"/>
      <c r="I57" s="1"/>
    </row>
    <row r="58" spans="1:9" x14ac:dyDescent="0.25">
      <c r="A58" s="1"/>
      <c r="B58" s="60" t="s">
        <v>202</v>
      </c>
      <c r="C58" s="61"/>
      <c r="D58" s="61"/>
      <c r="E58" s="61"/>
      <c r="F58" s="62"/>
      <c r="G58" s="24">
        <f>(G52+G53-G54)*(1+'Fane 14. Nøgletal'!C14)</f>
        <v>6760504.8651130898</v>
      </c>
      <c r="H58" s="14" t="s">
        <v>3</v>
      </c>
      <c r="I58" s="1"/>
    </row>
    <row r="59" spans="1:9" x14ac:dyDescent="0.25">
      <c r="A59" s="1"/>
      <c r="B59" s="60" t="s">
        <v>203</v>
      </c>
      <c r="C59" s="61"/>
      <c r="D59" s="61"/>
      <c r="E59" s="61"/>
      <c r="F59" s="62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0" t="s">
        <v>204</v>
      </c>
      <c r="C60" s="61"/>
      <c r="D60" s="61"/>
      <c r="E60" s="61"/>
      <c r="F60" s="62"/>
      <c r="G60" s="24">
        <f>(G58+G59)*'Fane 14. Nøgletal'!C29</f>
        <v>135210.0973022618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nHl2TuR505XniPp4PaQoiuhx8VVNE9u7vYpKRY4PEeU4sq3AJq+K03yxSFplE0LWT1ZmSVw4lWWDGuMDi5NlyA==" saltValue="YgCJ9fSAH70QL7Q8B4XPow==" spinCount="100000" sheet="1" objects="1" scenarios="1"/>
  <mergeCells count="37">
    <mergeCell ref="B57:H57"/>
    <mergeCell ref="B51:H51"/>
    <mergeCell ref="B52:F52"/>
    <mergeCell ref="B53:F53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54:F54"/>
    <mergeCell ref="B36:F36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10:F10"/>
    <mergeCell ref="B9:H9"/>
    <mergeCell ref="B5:F5"/>
    <mergeCell ref="B1:H2"/>
    <mergeCell ref="B23:H23"/>
    <mergeCell ref="B3:H3"/>
    <mergeCell ref="B4:F4"/>
    <mergeCell ref="B6:F6"/>
    <mergeCell ref="B11:F11"/>
    <mergeCell ref="B12:F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2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2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25">
      <c r="A4" s="1"/>
      <c r="B4" s="93" t="s">
        <v>60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65</v>
      </c>
      <c r="C5" s="103"/>
      <c r="D5" s="103"/>
      <c r="E5" s="103"/>
      <c r="F5" s="104"/>
      <c r="G5" s="24">
        <v>26947545.305338543</v>
      </c>
      <c r="H5" s="14" t="s">
        <v>3</v>
      </c>
      <c r="I5" s="1"/>
    </row>
    <row r="6" spans="1:9" x14ac:dyDescent="0.25">
      <c r="A6" s="1"/>
      <c r="B6" s="102" t="s">
        <v>61</v>
      </c>
      <c r="C6" s="103"/>
      <c r="D6" s="103"/>
      <c r="E6" s="103"/>
      <c r="F6" s="104"/>
      <c r="G6" s="24">
        <f>G5*'Fane 14. Nøgletal'!C19</f>
        <v>245222.66227858074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66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27169613.289313514</v>
      </c>
      <c r="H10" s="14" t="s">
        <v>3</v>
      </c>
      <c r="I10" s="1"/>
    </row>
    <row r="11" spans="1:9" x14ac:dyDescent="0.25">
      <c r="A11" s="1"/>
      <c r="B11" s="102" t="s">
        <v>147</v>
      </c>
      <c r="C11" s="103"/>
      <c r="D11" s="103"/>
      <c r="E11" s="103"/>
      <c r="F11" s="104"/>
      <c r="G11" s="24">
        <v>-262715.88209047233</v>
      </c>
      <c r="H11" s="14" t="s">
        <v>3</v>
      </c>
      <c r="I11" s="1"/>
    </row>
    <row r="12" spans="1:9" x14ac:dyDescent="0.25">
      <c r="A12" s="1"/>
      <c r="B12" s="105" t="s">
        <v>68</v>
      </c>
      <c r="C12" s="106"/>
      <c r="D12" s="106"/>
      <c r="E12" s="106"/>
      <c r="F12" s="107"/>
      <c r="G12" s="9">
        <v>0</v>
      </c>
      <c r="H12" s="14" t="s">
        <v>3</v>
      </c>
      <c r="I12" s="1"/>
    </row>
    <row r="13" spans="1:9" x14ac:dyDescent="0.2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476252.08410784788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70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26893181.616269711</v>
      </c>
      <c r="H17" s="14" t="s">
        <v>3</v>
      </c>
      <c r="I17" s="1"/>
    </row>
    <row r="18" spans="1:9" x14ac:dyDescent="0.25">
      <c r="A18" s="1"/>
      <c r="B18" s="105" t="s">
        <v>72</v>
      </c>
      <c r="C18" s="106"/>
      <c r="D18" s="106"/>
      <c r="E18" s="106"/>
      <c r="F18" s="107"/>
      <c r="G18" s="24">
        <v>19983.704413249994</v>
      </c>
      <c r="H18" s="14" t="s">
        <v>3</v>
      </c>
      <c r="I18" s="1"/>
    </row>
    <row r="19" spans="1:9" x14ac:dyDescent="0.2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476183.17283636919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74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26957790.696159169</v>
      </c>
      <c r="H23" s="14" t="s">
        <v>3</v>
      </c>
      <c r="I23" s="1"/>
    </row>
    <row r="24" spans="1:9" x14ac:dyDescent="0.25">
      <c r="A24" s="1"/>
      <c r="B24" s="105" t="s">
        <v>76</v>
      </c>
      <c r="C24" s="106"/>
      <c r="D24" s="106"/>
      <c r="E24" s="106"/>
      <c r="F24" s="107"/>
      <c r="G24" s="24">
        <v>153298.03768487999</v>
      </c>
      <c r="H24" s="14" t="s">
        <v>3</v>
      </c>
      <c r="I24" s="1"/>
    </row>
    <row r="25" spans="1:9" x14ac:dyDescent="0.2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769954.92004117102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78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26860054.149934798</v>
      </c>
      <c r="H29" s="14" t="s">
        <v>3</v>
      </c>
      <c r="I29" s="1"/>
    </row>
    <row r="30" spans="1:9" x14ac:dyDescent="0.25">
      <c r="A30" s="1"/>
      <c r="B30" s="102" t="s">
        <v>176</v>
      </c>
      <c r="C30" s="103"/>
      <c r="D30" s="103"/>
      <c r="E30" s="103"/>
      <c r="F30" s="104"/>
      <c r="G30" s="24">
        <v>39993.263969399995</v>
      </c>
      <c r="H30" s="14" t="s">
        <v>3</v>
      </c>
      <c r="I30" s="1"/>
    </row>
    <row r="31" spans="1:9" x14ac:dyDescent="0.2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763925.35261730687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238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26222371.264089137</v>
      </c>
      <c r="H35" s="14" t="s">
        <v>3</v>
      </c>
      <c r="I35" s="1"/>
    </row>
    <row r="36" spans="1:9" x14ac:dyDescent="0.25">
      <c r="A36" s="1"/>
      <c r="B36" s="102" t="s">
        <v>240</v>
      </c>
      <c r="C36" s="103"/>
      <c r="D36" s="103"/>
      <c r="E36" s="103"/>
      <c r="F36" s="104"/>
      <c r="G36" s="24">
        <f>SUM('Fane 2.1. Økonomisk ramme 2022'!C11,'Fane 2.1. Økonomisk ramme 2022'!C13,'Fane 2.1. Økonomisk ramme 2022'!C15)*(1+'Fane 14. Nøgletal'!C14)</f>
        <v>30482.190970980006</v>
      </c>
      <c r="H36" s="14" t="s">
        <v>3</v>
      </c>
      <c r="I36" s="1"/>
    </row>
    <row r="37" spans="1:9" x14ac:dyDescent="0.2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388542.23113488976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85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25949663.450964183</v>
      </c>
      <c r="H41" s="14" t="s">
        <v>3</v>
      </c>
      <c r="I41" s="1"/>
    </row>
    <row r="42" spans="1:9" x14ac:dyDescent="0.25">
      <c r="A42" s="1"/>
      <c r="B42" s="46" t="s">
        <v>242</v>
      </c>
      <c r="C42" s="61"/>
      <c r="D42" s="61"/>
      <c r="E42" s="61"/>
      <c r="F42" s="62"/>
      <c r="G42" s="24">
        <f>G36*(1+'Fane 14. Nøgletal'!C14)</f>
        <v>30582.782201184244</v>
      </c>
      <c r="H42" s="14" t="s">
        <v>3</v>
      </c>
      <c r="I42" s="1"/>
    </row>
    <row r="43" spans="1:9" x14ac:dyDescent="0.2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384055.01907426992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3" t="s">
        <v>181</v>
      </c>
      <c r="C52" s="94"/>
      <c r="D52" s="94"/>
      <c r="E52" s="94"/>
      <c r="F52" s="94"/>
      <c r="G52" s="94"/>
      <c r="H52" s="95"/>
      <c r="I52" s="1"/>
    </row>
    <row r="53" spans="1:9" x14ac:dyDescent="0.2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25649974.939715154</v>
      </c>
      <c r="H53" s="14" t="s">
        <v>3</v>
      </c>
      <c r="I53" s="1"/>
    </row>
    <row r="54" spans="1:9" x14ac:dyDescent="0.2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379619.62910778431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3" t="s">
        <v>205</v>
      </c>
      <c r="C58" s="94"/>
      <c r="D58" s="94"/>
      <c r="E58" s="94"/>
      <c r="F58" s="94"/>
      <c r="G58" s="94"/>
      <c r="H58" s="95"/>
      <c r="I58" s="1"/>
    </row>
    <row r="59" spans="1:9" x14ac:dyDescent="0.2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25353747.483132377</v>
      </c>
      <c r="H59" s="14" t="s">
        <v>3</v>
      </c>
      <c r="I59" s="1"/>
    </row>
    <row r="60" spans="1:9" x14ac:dyDescent="0.2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375235.46275035921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QzLHhqFx5vsN2n41xhHwj5h511fKaf4fHRz4mt1cNsL2c2a8B9DMGoF62/HCPyC7i4+WdGSSOP5gYiCVyvvlzA==" saltValue="xJzIv2cLxFp0AUy2DF1d3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243</v>
      </c>
      <c r="C9" s="103"/>
      <c r="D9" s="103"/>
      <c r="E9" s="103"/>
      <c r="F9" s="104"/>
      <c r="G9" s="23">
        <v>0</v>
      </c>
      <c r="H9" s="14"/>
      <c r="I9" s="1"/>
    </row>
    <row r="10" spans="1:9" x14ac:dyDescent="0.25">
      <c r="A10" s="1"/>
      <c r="B10" s="102" t="s">
        <v>86</v>
      </c>
      <c r="C10" s="103"/>
      <c r="D10" s="103"/>
      <c r="E10" s="103"/>
      <c r="F10" s="104"/>
      <c r="G10" s="23">
        <v>1.4428823703983455E-4</v>
      </c>
      <c r="H10" s="14"/>
      <c r="I10" s="1"/>
    </row>
    <row r="11" spans="1:9" x14ac:dyDescent="0.25">
      <c r="A11" s="1"/>
      <c r="B11" s="102" t="s">
        <v>87</v>
      </c>
      <c r="C11" s="103"/>
      <c r="D11" s="103"/>
      <c r="E11" s="103"/>
      <c r="F11" s="104"/>
      <c r="G11" s="41">
        <v>0</v>
      </c>
      <c r="H11" s="14"/>
      <c r="I11" s="1"/>
    </row>
    <row r="12" spans="1:9" x14ac:dyDescent="0.25">
      <c r="A12" s="1"/>
      <c r="B12" s="102" t="s">
        <v>206</v>
      </c>
      <c r="C12" s="103"/>
      <c r="D12" s="103"/>
      <c r="E12" s="103"/>
      <c r="F12" s="104"/>
      <c r="G12" s="41">
        <v>0</v>
      </c>
      <c r="H12" s="45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2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Fp9QjZeEPblALDaibeb3AI+LZfigMLpLPoIC3nbX0xuY/ZrfFUkn9U+KtLbjoEVbMiOOM7XVLFt4jUmjTJ+Cw==" saltValue="S2fMF3hAs1mmEfdq7hhmE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2021-10-11T13:11:48Z</dcterms:modified>
</cp:coreProperties>
</file>