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HTK Kloak AS (S049)\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G27" i="30" l="1"/>
  <c r="G15" i="30"/>
  <c r="G20" i="30" l="1"/>
  <c r="C16" i="15" l="1"/>
  <c r="E34" i="32" l="1"/>
  <c r="E24" i="32" l="1"/>
  <c r="E32" i="32" s="1"/>
  <c r="C20" i="15" l="1"/>
  <c r="C20" i="23"/>
  <c r="C20" i="22"/>
  <c r="E28" i="32"/>
  <c r="C32" i="2" s="1"/>
  <c r="C14"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9" i="30" l="1"/>
  <c r="G21" i="30" s="1"/>
  <c r="G23" i="36" l="1"/>
  <c r="G25" i="36" s="1"/>
  <c r="G29" i="36" l="1"/>
  <c r="G31" i="36" s="1"/>
  <c r="G25" i="30"/>
  <c r="C10" i="37" l="1"/>
  <c r="C12" i="37" s="1"/>
  <c r="C13" i="37" l="1"/>
  <c r="C10" i="2" s="1"/>
  <c r="G44" i="30" s="1"/>
  <c r="G35" i="36"/>
  <c r="G37" i="36" l="1"/>
  <c r="E19" i="27" s="1"/>
  <c r="G41" i="36" l="1"/>
  <c r="G31" i="30" l="1"/>
  <c r="E10" i="37"/>
  <c r="E12" i="37" s="1"/>
  <c r="G33" i="30" l="1"/>
  <c r="G37" i="30" s="1"/>
  <c r="G39" i="30" s="1"/>
  <c r="E13" i="37"/>
  <c r="C11" i="2" l="1"/>
  <c r="G42" i="36" s="1"/>
  <c r="G43" i="36" s="1"/>
  <c r="G53" i="36" l="1"/>
  <c r="G54" i="36" l="1"/>
  <c r="G58" i="36" s="1"/>
  <c r="G43" i="30"/>
  <c r="G45" i="30" s="1"/>
  <c r="E18" i="27"/>
  <c r="C19" i="2"/>
  <c r="E20" i="27" l="1"/>
  <c r="E35" i="27" s="1"/>
  <c r="G59" i="36"/>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<sst xmlns="http://schemas.openxmlformats.org/spreadsheetml/2006/main" count="607" uniqueCount="289">
  <si>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</si>
  <si>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</si>
  <si>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</si>
  <si>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</si>
  <si>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</si>
  <si>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</si>
  <si>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</si>
  <si>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</si>
  <si>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</si>
  <si>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</si>
  <si>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</si>
  <si>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</si>
  <si>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</si>
  <si>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</si>
  <si>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</si>
  <si>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</si>
  <si>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</si>
  <si>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</si>
  <si>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</si>
  <si>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</si>
  <si>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</si>
  <si>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</si>
  <si>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</si>
  <si>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</si>
  <si>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</si>
  <si>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</si>
  <si>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</si>
  <si>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</si>
  <si>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</si>
  <si>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</si>
  <si>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</si>
  <si>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</si>
  <si>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</si>
  <si>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</si>
  <si>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</si>
  <si>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</si>
  <si>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</si>
  <si>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</si>
  <si>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</si>
  <si>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</si>
  <si>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</si>
  <si>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</si>
  <si>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</si>
  <si>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</si>
  <si>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</si>
  <si>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</si>
  <si>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</si>
  <si>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</si>
  <si>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</si>
  <si>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</si>
  <si>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</si>
  <si>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</si>
  <si>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</si>
  <si>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</si>
  <si>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</si>
  <si>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</si>
  <si>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</si>
  <si>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</si>
  <si>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</si>
  <si>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</si>
  <si>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</si>
  <si>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</si>
  <si>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</si>
  <si>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</si>
  <si>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</si>
  <si>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</si>
  <si>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</si>
  <si>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</si>
  <si>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</si>
  <si>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</si>
  <si>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</si>
  <si>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</si>
  <si>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</si>
  <si>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</si>
  <si>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</si>
  <si>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</si>
  <si>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</si>
  <si>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</si>
  <si>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</si>
  <si>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</si>
  <si>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</si>
  <si>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</si>
  <si>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</si>
  <si>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</si>
  <si>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</si>
  <si>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</si>
  <si>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</si>
  <si>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</si>
  <si>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</si>
  <si>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</si>
  <si>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</si>
  <si>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</si>
  <si>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</si>
  <si>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</si>
  <si>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</si>
  <si>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</si>
  <si>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</si>
  <si>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</si>
  <si>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</si>
  <si>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</si>
  <si>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</si>
  <si>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</si>
  <si>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</si>
  <si>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</si>
  <si>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</si>
  <si>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</si>
  <si>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</si>
  <si>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</si>
  <si>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</si>
  <si>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</si>
  <si>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</si>
  <si>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</si>
  <si>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</si>
  <si>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</si>
  <si>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</si>
  <si>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</si>
  <si>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</si>
  <si>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</si>
  <si>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</si>
  <si>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</si>
  <si>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</si>
  <si>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</si>
  <si>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</si>
  <si>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</si>
  <si>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</si>
  <si>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</si>
  <si>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</si>
  <si>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</si>
  <si>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</si>
  <si>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</si>
  <si>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</si>
  <si>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</si>
  <si>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</si>
  <si>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</si>
  <si>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</si>
  <si>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</si>
  <si>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</si>
  <si>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</si>
  <si>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</si>
  <si>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</si>
  <si>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</si>
  <si>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</si>
  <si>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</si>
  <si>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</si>
  <si>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</si>
  <si>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</si>
  <si>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</si>
  <si>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</si>
  <si>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</si>
  <si>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</si>
  <si>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</si>
  <si>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</si>
  <si>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</si>
  <si>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</si>
  <si>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</si>
  <si>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</si>
  <si>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</si>
  <si>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</si>
  <si>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</si>
  <si>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</si>
  <si>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</si>
  <si>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</si>
  <si>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</si>
  <si>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</si>
  <si>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</si>
  <si>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</si>
  <si>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</si>
  <si>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</si>
  <si>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</si>
  <si>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</si>
  <si>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</si>
  <si>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</si>
  <si>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</si>
  <si>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</si>
  <si>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</si>
  <si>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</si>
  <si>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</si>
  <si>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</si>
  <si>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</si>
  <si>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</si>
  <si>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</si>
  <si>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</si>
  <si>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</si>
  <si>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</si>
  <si>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</si>
  <si>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</si>
  <si>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</si>
  <si>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</si>
  <si>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</si>
  <si>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</si>
  <si>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</si>
  <si>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</si>
  <si>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</si>
  <si>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</si>
  <si>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</si>
  <si>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</si>
  <si>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</si>
  <si>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</si>
  <si>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</si>
  <si>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</si>
  <si>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</si>
  <si>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</si>
  <si>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</si>
  <si>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</si>
  <si>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</si>
  <si>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</si>
  <si>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</si>
  <si>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</si>
  <si>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</si>
  <si>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</si>
  <si>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</si>
  <si>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</si>
  <si>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</si>
  <si>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</si>
  <si>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</si>
  <si>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</si>
  <si>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</si>
  <si>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</si>
  <si>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</si>
  <si>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</si>
  <si>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</si>
  <si>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</si>
  <si>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</si>
  <si>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</si>
  <si>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</si>
  <si>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</si>
  <si>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</si>
  <si>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</si>
  <si>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</si>
  <si>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</si>
  <si>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</si>
  <si>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</si>
  <si>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</si>
  <si>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</si>
  <si>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</si>
  <si>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</si>
  <si>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</si>
  <si>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</si>
  <si>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</si>
  <si>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</si>
  <si>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</si>
  <si>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</si>
  <si>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</si>
  <si>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</si>
  <si>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</si>
  <si>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</si>
  <si>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</si>
  <si>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</si>
  <si>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</si>
  <si>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</si>
  <si>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</si>
  <si>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</si>
  <si>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</si>
  <si>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</si>
  <si>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</si>
  <si>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</si>
  <si>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</si>
  <si>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</si>
  <si>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</si>
  <si>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</si>
  <si>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</si>
  <si>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</si>
  <si>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</si>
  <si>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</si>
  <si>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</si>
  <si>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</si>
  <si>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</si>
  <si>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</si>
  <si>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</si>
  <si>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Resultat af kontrol med overholdelse af den økonomiske ramme for 2021</t>
  </si>
  <si>
    <t>Nye tillæg</t>
  </si>
  <si>
    <t>Ingen engangstillæg</t>
  </si>
  <si>
    <t>Ingen anlægsprojekter</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</si>
  <si>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</si>
  <si>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</si>
  <si>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</si>
  <si>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</si>
  <si>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</si>
  <si>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</si>
  <si>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</si>
  <si>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</si>
  <si>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</si>
  <si>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</si>
  <si>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</si>
  <si>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</si>
  <si>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</si>
  <si>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</si>
  <si>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</si>
  <si>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 xml:space="preserve">Note: Opgørelsen af over/underdækningen er taget fra jeres tidligere fremsendte økonomiske rammer og statusmeddelelser. I kan derfor ikke komme med høringssvar til denne opgørelse.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</si>
</sst>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0"/>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6">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166"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1" xfId="0" applyFont="1" applyFill="1" applyBorder="1" applyAlignment="1" applyProtection="1">
      <alignment horizontal="center" vertical="top" wrapText="1"/>
    </xf>
    <xf numFmtId="0" fontId="7" fillId="3" borderId="1" xfId="0" applyFont="1" applyFill="1" applyBorder="1" applyAlignment="1" applyProtection="1">
      <alignment horizontal="left"/>
    </xf>
    <xf numFmtId="0" fontId="7" fillId="3" borderId="1" xfId="0" applyFont="1" applyFill="1" applyBorder="1" applyAlignment="1" applyProtection="1">
      <alignment horizontal="center"/>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2" t="s">
        <v>4</v>
      </c>
      <c r="E6" s="102"/>
      <c r="F6" s="102"/>
      <c r="G6" s="102"/>
      <c r="H6" s="3"/>
      <c r="I6" s="1"/>
    </row>
    <row r="7" spans="1:9" ht="15" customHeight="1" x14ac:dyDescent="0.25">
      <c r="A7" s="1"/>
      <c r="B7" s="1"/>
      <c r="C7" s="3"/>
      <c r="D7" s="102"/>
      <c r="E7" s="102"/>
      <c r="F7" s="102"/>
      <c r="G7" s="102"/>
      <c r="H7" s="3"/>
      <c r="I7" s="1"/>
    </row>
    <row r="8" spans="1:9" ht="15.75" x14ac:dyDescent="0.25">
      <c r="A8" s="1"/>
      <c r="B8" s="1"/>
      <c r="C8" s="4"/>
      <c r="D8" s="110" t="s">
        <v>225</v>
      </c>
      <c r="E8" s="110"/>
      <c r="F8" s="110"/>
      <c r="G8" s="110"/>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9" t="s">
        <v>5</v>
      </c>
      <c r="E11" s="109"/>
      <c r="F11" s="109"/>
      <c r="G11" s="109"/>
      <c r="H11" s="5"/>
      <c r="I11" s="1"/>
    </row>
    <row r="12" spans="1:9" x14ac:dyDescent="0.25">
      <c r="A12" s="1"/>
      <c r="B12" s="1"/>
      <c r="C12" s="1"/>
      <c r="D12" s="1"/>
      <c r="E12" s="1"/>
      <c r="F12" s="1"/>
      <c r="G12" s="1"/>
      <c r="H12" s="5"/>
      <c r="I12" s="1"/>
    </row>
    <row r="13" spans="1:9" x14ac:dyDescent="0.25">
      <c r="A13" s="1"/>
      <c r="B13" s="1"/>
      <c r="C13" s="6" t="s">
        <v>6</v>
      </c>
      <c r="D13" s="114" t="s">
        <v>169</v>
      </c>
      <c r="E13" s="115"/>
      <c r="F13" s="115"/>
      <c r="G13" s="116"/>
      <c r="H13" s="5"/>
      <c r="I13" s="1"/>
    </row>
    <row r="14" spans="1:9" x14ac:dyDescent="0.25">
      <c r="A14" s="1"/>
      <c r="B14" s="1"/>
      <c r="C14" s="6" t="s">
        <v>16</v>
      </c>
      <c r="D14" s="99" t="s">
        <v>235</v>
      </c>
      <c r="E14" s="100"/>
      <c r="F14" s="100"/>
      <c r="G14" s="101"/>
      <c r="H14" s="5"/>
      <c r="I14" s="1"/>
    </row>
    <row r="15" spans="1:9" x14ac:dyDescent="0.25">
      <c r="A15" s="1"/>
      <c r="B15" s="1"/>
      <c r="C15" s="6" t="s">
        <v>34</v>
      </c>
      <c r="D15" s="99" t="s">
        <v>170</v>
      </c>
      <c r="E15" s="100"/>
      <c r="F15" s="100"/>
      <c r="G15" s="101"/>
      <c r="H15" s="5"/>
      <c r="I15" s="1"/>
    </row>
    <row r="16" spans="1:9" x14ac:dyDescent="0.25">
      <c r="A16" s="1"/>
      <c r="B16" s="1"/>
      <c r="C16" s="6" t="s">
        <v>35</v>
      </c>
      <c r="D16" s="99" t="s">
        <v>182</v>
      </c>
      <c r="E16" s="100"/>
      <c r="F16" s="100"/>
      <c r="G16" s="101"/>
      <c r="H16" s="5"/>
      <c r="I16" s="1"/>
    </row>
    <row r="17" spans="1:9" x14ac:dyDescent="0.25">
      <c r="A17" s="1"/>
      <c r="B17" s="1"/>
      <c r="C17" s="6" t="s">
        <v>119</v>
      </c>
      <c r="D17" s="99" t="s">
        <v>183</v>
      </c>
      <c r="E17" s="100"/>
      <c r="F17" s="100"/>
      <c r="G17" s="101"/>
      <c r="H17" s="5"/>
      <c r="I17" s="1"/>
    </row>
    <row r="18" spans="1:9" x14ac:dyDescent="0.25">
      <c r="A18" s="1"/>
      <c r="B18" s="1"/>
      <c r="C18" s="6" t="s">
        <v>106</v>
      </c>
      <c r="D18" s="111" t="s">
        <v>95</v>
      </c>
      <c r="E18" s="112"/>
      <c r="F18" s="112"/>
      <c r="G18" s="113"/>
      <c r="H18" s="5"/>
      <c r="I18" s="1"/>
    </row>
    <row r="19" spans="1:9" x14ac:dyDescent="0.25">
      <c r="A19" s="1"/>
      <c r="B19" s="1"/>
      <c r="C19" s="6" t="s">
        <v>107</v>
      </c>
      <c r="D19" s="111" t="s">
        <v>96</v>
      </c>
      <c r="E19" s="112"/>
      <c r="F19" s="112"/>
      <c r="G19" s="113"/>
      <c r="H19" s="5"/>
      <c r="I19" s="1"/>
    </row>
    <row r="20" spans="1:9" x14ac:dyDescent="0.25">
      <c r="A20" s="1"/>
      <c r="B20" s="1"/>
      <c r="C20" s="6" t="s">
        <v>7</v>
      </c>
      <c r="D20" s="111" t="s">
        <v>10</v>
      </c>
      <c r="E20" s="112"/>
      <c r="F20" s="112"/>
      <c r="G20" s="113"/>
      <c r="H20" s="5"/>
      <c r="I20" s="1"/>
    </row>
    <row r="21" spans="1:9" x14ac:dyDescent="0.25">
      <c r="A21" s="1"/>
      <c r="B21" s="1"/>
      <c r="C21" s="6" t="s">
        <v>108</v>
      </c>
      <c r="D21" s="103" t="s">
        <v>12</v>
      </c>
      <c r="E21" s="104"/>
      <c r="F21" s="104"/>
      <c r="G21" s="105"/>
      <c r="H21" s="5"/>
      <c r="I21" s="1"/>
    </row>
    <row r="22" spans="1:9" x14ac:dyDescent="0.25">
      <c r="A22" s="1"/>
      <c r="B22" s="1"/>
      <c r="C22" s="6" t="s">
        <v>83</v>
      </c>
      <c r="D22" s="106" t="s">
        <v>184</v>
      </c>
      <c r="E22" s="107"/>
      <c r="F22" s="107"/>
      <c r="G22" s="108"/>
      <c r="H22" s="5"/>
      <c r="I22" s="1"/>
    </row>
    <row r="23" spans="1:9" x14ac:dyDescent="0.25">
      <c r="A23" s="1"/>
      <c r="B23" s="1"/>
      <c r="C23" s="6" t="s">
        <v>8</v>
      </c>
      <c r="D23" s="106" t="s">
        <v>253</v>
      </c>
      <c r="E23" s="107"/>
      <c r="F23" s="107"/>
      <c r="G23" s="108"/>
      <c r="H23" s="5"/>
      <c r="I23" s="1"/>
    </row>
    <row r="24" spans="1:9" x14ac:dyDescent="0.25">
      <c r="A24" s="1"/>
      <c r="B24" s="1"/>
      <c r="C24" s="6" t="s">
        <v>9</v>
      </c>
      <c r="D24" s="106" t="s">
        <v>185</v>
      </c>
      <c r="E24" s="107"/>
      <c r="F24" s="107"/>
      <c r="G24" s="108"/>
      <c r="H24" s="5"/>
      <c r="I24" s="1"/>
    </row>
    <row r="25" spans="1:9" x14ac:dyDescent="0.25">
      <c r="A25" s="1"/>
      <c r="B25" s="1"/>
      <c r="C25" s="6" t="s">
        <v>246</v>
      </c>
      <c r="D25" s="106" t="s">
        <v>237</v>
      </c>
      <c r="E25" s="107"/>
      <c r="F25" s="107"/>
      <c r="G25" s="108"/>
      <c r="H25" s="1"/>
      <c r="I25" s="1"/>
    </row>
    <row r="26" spans="1:9" x14ac:dyDescent="0.25">
      <c r="A26" s="1"/>
      <c r="B26" s="1"/>
      <c r="C26" s="6" t="s">
        <v>247</v>
      </c>
      <c r="D26" s="106" t="s">
        <v>84</v>
      </c>
      <c r="E26" s="107"/>
      <c r="F26" s="107"/>
      <c r="G26" s="108"/>
      <c r="H26" s="1"/>
      <c r="I26" s="1"/>
    </row>
    <row r="27" spans="1:9" x14ac:dyDescent="0.25">
      <c r="A27" s="1"/>
      <c r="B27" s="1"/>
      <c r="C27" s="6" t="s">
        <v>248</v>
      </c>
      <c r="D27" s="106" t="s">
        <v>85</v>
      </c>
      <c r="E27" s="107"/>
      <c r="F27" s="107"/>
      <c r="G27" s="108"/>
      <c r="H27" s="1"/>
      <c r="I27" s="1"/>
    </row>
    <row r="28" spans="1:9" x14ac:dyDescent="0.25">
      <c r="A28" s="1"/>
      <c r="B28" s="1"/>
      <c r="C28" s="6" t="s">
        <v>15</v>
      </c>
      <c r="D28" s="106" t="s">
        <v>86</v>
      </c>
      <c r="E28" s="107"/>
      <c r="F28" s="107"/>
      <c r="G28" s="108"/>
      <c r="H28" s="1"/>
      <c r="I28" s="1"/>
    </row>
    <row r="29" spans="1:9" x14ac:dyDescent="0.25">
      <c r="A29" s="1"/>
      <c r="B29" s="1"/>
      <c r="C29" s="6" t="s">
        <v>37</v>
      </c>
      <c r="D29" s="106" t="s">
        <v>134</v>
      </c>
      <c r="E29" s="107"/>
      <c r="F29" s="107"/>
      <c r="G29" s="108"/>
      <c r="H29" s="1"/>
      <c r="I29" s="1"/>
    </row>
    <row r="30" spans="1:9" x14ac:dyDescent="0.25">
      <c r="A30" s="1"/>
      <c r="B30" s="1"/>
      <c r="C30" s="6" t="s">
        <v>38</v>
      </c>
      <c r="D30" s="106" t="s">
        <v>36</v>
      </c>
      <c r="E30" s="107"/>
      <c r="F30" s="107"/>
      <c r="G30" s="108"/>
      <c r="H30" s="1"/>
      <c r="I30" s="1"/>
    </row>
    <row r="31" spans="1:9" x14ac:dyDescent="0.25">
      <c r="A31" s="1"/>
      <c r="B31" s="1"/>
      <c r="C31" s="6" t="s">
        <v>249</v>
      </c>
      <c r="D31" s="117" t="s">
        <v>105</v>
      </c>
      <c r="E31" s="118"/>
      <c r="F31" s="118"/>
      <c r="G31" s="11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XPk/NyrSygoTIsT1gn3i3CM5F+G20NzIuHSed7LdIib3Y8SvJ/v9zBDc9IP669F7p2EdT01DZMa+COwGX9KRuA==" saltValue="v5SJwsgyz6PpZgzyL/FPg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0" t="s">
        <v>111</v>
      </c>
      <c r="C3" s="120"/>
      <c r="D3" s="120"/>
      <c r="E3" s="1"/>
      <c r="F3" s="1"/>
    </row>
    <row r="4" spans="1:6" ht="15" customHeight="1" x14ac:dyDescent="0.25">
      <c r="A4" s="1"/>
      <c r="B4" s="120"/>
      <c r="C4" s="120"/>
      <c r="D4" s="12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8" t="s">
        <v>199</v>
      </c>
      <c r="C8" s="129"/>
      <c r="D8" s="130"/>
      <c r="E8" s="1"/>
      <c r="F8" s="1"/>
    </row>
    <row r="9" spans="1:6" ht="15" customHeight="1" x14ac:dyDescent="0.25">
      <c r="A9" s="1"/>
      <c r="B9" s="26" t="s">
        <v>32</v>
      </c>
      <c r="C9" s="58" t="s">
        <v>240</v>
      </c>
      <c r="D9" s="11"/>
      <c r="E9" s="1"/>
      <c r="F9" s="1"/>
    </row>
    <row r="10" spans="1:6" x14ac:dyDescent="0.25">
      <c r="A10" s="1"/>
      <c r="B10" s="94" t="s">
        <v>265</v>
      </c>
      <c r="C10" s="9">
        <v>157966</v>
      </c>
      <c r="D10" s="14" t="s">
        <v>3</v>
      </c>
      <c r="E10" s="1"/>
      <c r="F10" s="1"/>
    </row>
    <row r="11" spans="1:6" x14ac:dyDescent="0.25">
      <c r="A11" s="1"/>
      <c r="B11" s="94" t="s">
        <v>266</v>
      </c>
      <c r="C11" s="9">
        <v>116628</v>
      </c>
      <c r="D11" s="14" t="s">
        <v>3</v>
      </c>
      <c r="E11" s="1"/>
      <c r="F11" s="1"/>
    </row>
    <row r="12" spans="1:6" x14ac:dyDescent="0.25">
      <c r="A12" s="1"/>
      <c r="B12" s="94" t="s">
        <v>267</v>
      </c>
      <c r="C12" s="9">
        <v>16330627</v>
      </c>
      <c r="D12" s="14" t="s">
        <v>3</v>
      </c>
      <c r="E12" s="1"/>
      <c r="F12" s="1"/>
    </row>
    <row r="13" spans="1:6" x14ac:dyDescent="0.25">
      <c r="A13" s="1"/>
      <c r="B13" s="94" t="s">
        <v>268</v>
      </c>
      <c r="C13" s="9">
        <v>17717.64</v>
      </c>
      <c r="D13" s="14" t="s">
        <v>3</v>
      </c>
      <c r="E13" s="1"/>
      <c r="F13" s="1"/>
    </row>
    <row r="14" spans="1:6" x14ac:dyDescent="0.25">
      <c r="A14" s="1"/>
      <c r="B14" s="32" t="s">
        <v>200</v>
      </c>
      <c r="C14" s="12">
        <f>SUM(C10:C13)</f>
        <v>16622938.640000001</v>
      </c>
      <c r="D14" s="13" t="s">
        <v>3</v>
      </c>
      <c r="E14" s="1"/>
      <c r="F14" s="1"/>
    </row>
    <row r="15" spans="1:6" x14ac:dyDescent="0.25">
      <c r="A15" s="1"/>
      <c r="B15" s="32" t="s">
        <v>201</v>
      </c>
      <c r="C15" s="12">
        <f>C14*(1+'Fane 15. Nøgletal'!C15)^2</f>
        <v>17827559.118682794</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28" t="s">
        <v>117</v>
      </c>
      <c r="C18" s="129"/>
      <c r="D18" s="130"/>
      <c r="E18" s="1"/>
      <c r="F18" s="1"/>
    </row>
    <row r="19" spans="1:6" x14ac:dyDescent="0.25">
      <c r="A19" s="1"/>
      <c r="B19" s="94" t="s">
        <v>99</v>
      </c>
      <c r="C19" s="9">
        <v>313948.6098162448</v>
      </c>
      <c r="D19" s="14" t="s">
        <v>3</v>
      </c>
      <c r="E19" s="1"/>
      <c r="F19" s="1"/>
    </row>
    <row r="20" spans="1:6" x14ac:dyDescent="0.25">
      <c r="A20" s="1"/>
      <c r="B20" s="94" t="s">
        <v>129</v>
      </c>
      <c r="C20" s="9">
        <v>314409.33418571315</v>
      </c>
      <c r="D20" s="14" t="s">
        <v>3</v>
      </c>
      <c r="E20" s="1"/>
      <c r="F20" s="1"/>
    </row>
    <row r="21" spans="1:6" x14ac:dyDescent="0.25">
      <c r="A21" s="1"/>
      <c r="B21" s="94" t="s">
        <v>155</v>
      </c>
      <c r="C21" s="9">
        <v>314876.9694207235</v>
      </c>
      <c r="D21" s="14" t="s">
        <v>3</v>
      </c>
      <c r="E21" s="1"/>
      <c r="F21" s="1"/>
    </row>
    <row r="22" spans="1:6" x14ac:dyDescent="0.25">
      <c r="A22" s="1"/>
      <c r="B22" s="33" t="s">
        <v>202</v>
      </c>
      <c r="C22" s="9">
        <v>32117.967332570988</v>
      </c>
      <c r="D22" s="40" t="s">
        <v>3</v>
      </c>
      <c r="E22" s="1"/>
      <c r="F22" s="1"/>
    </row>
    <row r="23" spans="1:6" x14ac:dyDescent="0.25">
      <c r="A23" s="1"/>
      <c r="B23" s="128"/>
      <c r="C23" s="129"/>
      <c r="D23" s="130"/>
      <c r="E23" s="1"/>
      <c r="F23" s="1"/>
    </row>
    <row r="24" spans="1:6" x14ac:dyDescent="0.25">
      <c r="A24" s="1"/>
      <c r="B24" s="1"/>
      <c r="C24" s="1"/>
      <c r="D24" s="1"/>
      <c r="E24" s="1"/>
      <c r="F24" s="1"/>
    </row>
    <row r="25" spans="1:6" x14ac:dyDescent="0.25">
      <c r="A25" s="1"/>
      <c r="B25" s="1"/>
      <c r="C25" s="1"/>
      <c r="D25" s="1"/>
      <c r="E25" s="1"/>
      <c r="F25" s="1"/>
    </row>
    <row r="26" spans="1:6" x14ac:dyDescent="0.25">
      <c r="A26" s="1"/>
      <c r="B26" s="128" t="s">
        <v>98</v>
      </c>
      <c r="C26" s="129"/>
      <c r="D26" s="130"/>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3" t="s">
        <v>202</v>
      </c>
      <c r="C30" s="9">
        <v>0</v>
      </c>
      <c r="D30" s="40" t="s">
        <v>3</v>
      </c>
      <c r="E30" s="1"/>
      <c r="F30" s="1"/>
    </row>
    <row r="31" spans="1:6" x14ac:dyDescent="0.25">
      <c r="A31" s="1"/>
      <c r="B31" s="128"/>
      <c r="C31" s="129"/>
      <c r="D31" s="130"/>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sheetData>
  <sheetProtection algorithmName="SHA-512" hashValue="cCrpSa/RCwm1Z9c2Uk9lqFof8lZ95+403nimUsQOi37mcX2FktIbIgzl25rR/z9H0SIzgVdXxf9LBKOaBxqfKg==" saltValue="UsTfQY6jEbf0SqGshrXucg=="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6" t="s">
        <v>203</v>
      </c>
      <c r="C3" s="136"/>
      <c r="D3" s="136"/>
      <c r="E3" s="136"/>
      <c r="F3" s="136"/>
      <c r="G3" s="1"/>
    </row>
    <row r="4" spans="1:7" ht="15" customHeight="1" x14ac:dyDescent="0.25">
      <c r="A4" s="1"/>
      <c r="B4" s="136"/>
      <c r="C4" s="136"/>
      <c r="D4" s="136"/>
      <c r="E4" s="136"/>
      <c r="F4" s="136"/>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28" t="s">
        <v>178</v>
      </c>
      <c r="C8" s="129"/>
      <c r="D8" s="129"/>
      <c r="E8" s="129"/>
      <c r="F8" s="130"/>
      <c r="G8" s="1"/>
    </row>
    <row r="9" spans="1:7" x14ac:dyDescent="0.25">
      <c r="A9" s="1"/>
      <c r="B9" s="138" t="s">
        <v>204</v>
      </c>
      <c r="C9" s="139"/>
      <c r="D9" s="140"/>
      <c r="E9" s="9">
        <v>19182291.548665062</v>
      </c>
      <c r="F9" s="14" t="s">
        <v>3</v>
      </c>
      <c r="G9" s="1"/>
    </row>
    <row r="10" spans="1:7" x14ac:dyDescent="0.25">
      <c r="A10" s="1"/>
      <c r="B10" s="138" t="s">
        <v>263</v>
      </c>
      <c r="C10" s="139"/>
      <c r="D10" s="140"/>
      <c r="E10" s="9">
        <v>19182291.548665062</v>
      </c>
      <c r="F10" s="14" t="s">
        <v>3</v>
      </c>
      <c r="G10" s="1"/>
    </row>
    <row r="11" spans="1:7" x14ac:dyDescent="0.25">
      <c r="A11" s="1"/>
      <c r="B11" s="32"/>
      <c r="C11" s="27"/>
      <c r="D11" s="27"/>
      <c r="E11" s="27"/>
      <c r="F11" s="19"/>
      <c r="G11" s="1"/>
    </row>
    <row r="12" spans="1:7" ht="87" customHeight="1" x14ac:dyDescent="0.25">
      <c r="A12" s="1"/>
      <c r="B12" s="131" t="s">
        <v>287</v>
      </c>
      <c r="C12" s="132"/>
      <c r="D12" s="132"/>
      <c r="E12" s="132"/>
      <c r="F12" s="133"/>
      <c r="G12" s="1"/>
    </row>
    <row r="13" spans="1:7" ht="27" customHeight="1" x14ac:dyDescent="0.25">
      <c r="A13" s="1"/>
      <c r="B13" s="1"/>
      <c r="C13" s="1"/>
      <c r="D13" s="1"/>
      <c r="E13" s="1"/>
      <c r="F13" s="1"/>
      <c r="G13" s="1"/>
    </row>
    <row r="14" spans="1:7" ht="28.5" customHeight="1" x14ac:dyDescent="0.25">
      <c r="A14" s="1"/>
      <c r="B14" s="128" t="s">
        <v>179</v>
      </c>
      <c r="C14" s="129"/>
      <c r="D14" s="129"/>
      <c r="E14" s="129"/>
      <c r="F14" s="130"/>
      <c r="G14" s="1"/>
    </row>
    <row r="15" spans="1:7" x14ac:dyDescent="0.25">
      <c r="A15" s="1"/>
      <c r="B15" s="138" t="s">
        <v>282</v>
      </c>
      <c r="C15" s="139"/>
      <c r="D15" s="140"/>
      <c r="E15" s="9">
        <v>0</v>
      </c>
      <c r="F15" s="14" t="s">
        <v>3</v>
      </c>
      <c r="G15" s="1"/>
    </row>
    <row r="16" spans="1:7" x14ac:dyDescent="0.25">
      <c r="A16" s="1"/>
      <c r="B16" s="138" t="s">
        <v>283</v>
      </c>
      <c r="C16" s="139"/>
      <c r="D16" s="140"/>
      <c r="E16" s="9">
        <v>0</v>
      </c>
      <c r="F16" s="14" t="s">
        <v>3</v>
      </c>
      <c r="G16" s="1"/>
    </row>
    <row r="17" spans="1:7" x14ac:dyDescent="0.25">
      <c r="A17" s="1"/>
      <c r="B17" s="32"/>
      <c r="C17" s="27"/>
      <c r="D17" s="27"/>
      <c r="E17" s="27"/>
      <c r="F17" s="19"/>
      <c r="G17" s="1"/>
    </row>
    <row r="18" spans="1:7" ht="31.5" customHeight="1" x14ac:dyDescent="0.25">
      <c r="A18" s="1"/>
      <c r="B18" s="131" t="s">
        <v>288</v>
      </c>
      <c r="C18" s="132"/>
      <c r="D18" s="132"/>
      <c r="E18" s="132"/>
      <c r="F18" s="133"/>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66183249.337276459</v>
      </c>
      <c r="F21" s="14" t="s">
        <v>3</v>
      </c>
      <c r="G21" s="1"/>
    </row>
    <row r="22" spans="1:7" x14ac:dyDescent="0.25">
      <c r="A22" s="1"/>
      <c r="B22" s="91" t="s">
        <v>207</v>
      </c>
      <c r="C22" s="92"/>
      <c r="D22" s="93"/>
      <c r="E22" s="9">
        <v>48198478.25</v>
      </c>
      <c r="F22" s="14" t="s">
        <v>3</v>
      </c>
      <c r="G22" s="1"/>
    </row>
    <row r="23" spans="1:7" x14ac:dyDescent="0.25">
      <c r="A23" s="1"/>
      <c r="B23" s="91" t="s">
        <v>33</v>
      </c>
      <c r="C23" s="92"/>
      <c r="D23" s="93"/>
      <c r="E23" s="9">
        <v>0</v>
      </c>
      <c r="F23" s="14" t="s">
        <v>3</v>
      </c>
      <c r="G23" s="1"/>
    </row>
    <row r="24" spans="1:7" x14ac:dyDescent="0.25">
      <c r="A24" s="1"/>
      <c r="B24" s="88" t="s">
        <v>269</v>
      </c>
      <c r="C24" s="89"/>
      <c r="D24" s="96"/>
      <c r="E24" s="72">
        <f>E21-(E22-E23)</f>
        <v>17984771.087276459</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28" t="s">
        <v>284</v>
      </c>
      <c r="C27" s="129"/>
      <c r="D27" s="129"/>
      <c r="E27" s="129"/>
      <c r="F27" s="130"/>
      <c r="G27" s="1"/>
    </row>
    <row r="28" spans="1:7" x14ac:dyDescent="0.25">
      <c r="A28" s="1"/>
      <c r="B28" s="134" t="s">
        <v>285</v>
      </c>
      <c r="C28" s="135"/>
      <c r="D28" s="156"/>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28"/>
      <c r="C29" s="129"/>
      <c r="D29" s="129"/>
      <c r="E29" s="129"/>
      <c r="F29" s="130"/>
      <c r="G29" s="1"/>
    </row>
    <row r="30" spans="1:7" x14ac:dyDescent="0.25">
      <c r="A30" s="1"/>
      <c r="B30" s="1"/>
      <c r="C30" s="1"/>
      <c r="D30" s="1"/>
      <c r="E30" s="1"/>
      <c r="F30" s="1"/>
      <c r="G30" s="1"/>
    </row>
    <row r="31" spans="1:7" ht="28.5" customHeight="1" x14ac:dyDescent="0.25">
      <c r="A31" s="1"/>
      <c r="B31" s="128" t="s">
        <v>264</v>
      </c>
      <c r="C31" s="129"/>
      <c r="D31" s="129"/>
      <c r="E31" s="129"/>
      <c r="F31" s="130"/>
      <c r="G31" s="1"/>
    </row>
    <row r="32" spans="1:7" x14ac:dyDescent="0.25">
      <c r="A32" s="1"/>
      <c r="B32" s="157" t="s">
        <v>143</v>
      </c>
      <c r="C32" s="158"/>
      <c r="D32" s="159"/>
      <c r="E32" s="74">
        <f>IF(AND(E9&gt;0,(E9+E24)&gt;0),0,IF(AND(E9&gt;0,(E9+E24)&lt;0),(E9+E24),IF(AND(E9&lt;0,E24&lt;0),E24,0)))</f>
        <v>0</v>
      </c>
      <c r="F32" s="14" t="s">
        <v>3</v>
      </c>
      <c r="G32" s="1"/>
    </row>
    <row r="33" spans="1:7" x14ac:dyDescent="0.25">
      <c r="A33" s="1"/>
      <c r="B33" s="157" t="s">
        <v>102</v>
      </c>
      <c r="C33" s="158"/>
      <c r="D33" s="159"/>
      <c r="E33" s="9">
        <v>4</v>
      </c>
      <c r="F33" s="14" t="s">
        <v>20</v>
      </c>
      <c r="G33" s="1"/>
    </row>
    <row r="34" spans="1:7" x14ac:dyDescent="0.25">
      <c r="A34" s="1"/>
      <c r="B34" s="152" t="s">
        <v>144</v>
      </c>
      <c r="C34" s="152"/>
      <c r="D34" s="152"/>
      <c r="E34" s="73">
        <f>E32/E33</f>
        <v>0</v>
      </c>
      <c r="F34" s="17" t="s">
        <v>3</v>
      </c>
      <c r="G34" s="1"/>
    </row>
    <row r="35" spans="1:7" x14ac:dyDescent="0.25">
      <c r="A35" s="1"/>
      <c r="B35" s="153"/>
      <c r="C35" s="154"/>
      <c r="D35" s="154"/>
      <c r="E35" s="154"/>
      <c r="F35" s="155"/>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zO3IQBLjLHbcYHWIOYhTjtBDsX+AXQzDfGBNmQYO05x13chVSQMBRl5vICmelhelTr3Yb+QXiLedGg77IgJiYg==" saltValue="eE4tLR2bAC6yLUA8weFlKQ=="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0" t="s">
        <v>250</v>
      </c>
      <c r="C3" s="120"/>
      <c r="D3" s="120"/>
      <c r="E3" s="120"/>
      <c r="F3" s="120"/>
      <c r="G3" s="120"/>
      <c r="H3" s="120"/>
      <c r="I3" s="1"/>
    </row>
    <row r="4" spans="1:9" ht="15" customHeight="1" x14ac:dyDescent="0.25">
      <c r="A4" s="1"/>
      <c r="B4" s="120"/>
      <c r="C4" s="120"/>
      <c r="D4" s="120"/>
      <c r="E4" s="120"/>
      <c r="F4" s="120"/>
      <c r="G4" s="120"/>
      <c r="H4" s="12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8" t="s">
        <v>262</v>
      </c>
      <c r="C8" s="129"/>
      <c r="D8" s="129"/>
      <c r="E8" s="129"/>
      <c r="F8" s="129"/>
      <c r="G8" s="129"/>
      <c r="H8" s="130"/>
      <c r="I8" s="1"/>
    </row>
    <row r="9" spans="1:9" ht="15" customHeight="1" x14ac:dyDescent="0.25">
      <c r="A9" s="1"/>
      <c r="B9" s="125" t="s">
        <v>251</v>
      </c>
      <c r="C9" s="126"/>
      <c r="D9" s="126"/>
      <c r="E9" s="126"/>
      <c r="F9" s="126"/>
      <c r="G9" s="126"/>
      <c r="H9" s="127"/>
      <c r="I9" s="1"/>
    </row>
    <row r="10" spans="1:9" x14ac:dyDescent="0.25">
      <c r="A10" s="1"/>
      <c r="B10" s="160" t="s">
        <v>274</v>
      </c>
      <c r="C10" s="161"/>
      <c r="D10" s="161"/>
      <c r="E10" s="161"/>
      <c r="F10" s="162"/>
      <c r="G10" s="9">
        <v>0</v>
      </c>
      <c r="H10" s="9" t="s">
        <v>3</v>
      </c>
      <c r="I10" s="1"/>
    </row>
    <row r="11" spans="1:9" x14ac:dyDescent="0.25">
      <c r="A11" s="1"/>
      <c r="B11" s="160" t="s">
        <v>275</v>
      </c>
      <c r="C11" s="161"/>
      <c r="D11" s="161"/>
      <c r="E11" s="161"/>
      <c r="F11" s="162"/>
      <c r="G11" s="9">
        <v>0</v>
      </c>
      <c r="H11" s="9" t="s">
        <v>3</v>
      </c>
      <c r="I11" s="1"/>
    </row>
    <row r="12" spans="1:9" x14ac:dyDescent="0.25">
      <c r="A12" s="1"/>
      <c r="B12" s="160" t="s">
        <v>276</v>
      </c>
      <c r="C12" s="161"/>
      <c r="D12" s="161"/>
      <c r="E12" s="161"/>
      <c r="F12" s="162"/>
      <c r="G12" s="9">
        <v>0</v>
      </c>
      <c r="H12" s="9" t="s">
        <v>3</v>
      </c>
      <c r="I12" s="1"/>
    </row>
    <row r="13" spans="1:9" x14ac:dyDescent="0.25">
      <c r="A13" s="1"/>
      <c r="B13" s="160" t="s">
        <v>277</v>
      </c>
      <c r="C13" s="161"/>
      <c r="D13" s="161"/>
      <c r="E13" s="161"/>
      <c r="F13" s="162"/>
      <c r="G13" s="9">
        <v>0</v>
      </c>
      <c r="H13" s="9" t="s">
        <v>3</v>
      </c>
      <c r="I13" s="1"/>
    </row>
    <row r="14" spans="1:9" x14ac:dyDescent="0.25">
      <c r="A14" s="1"/>
      <c r="B14" s="160" t="s">
        <v>278</v>
      </c>
      <c r="C14" s="161"/>
      <c r="D14" s="161"/>
      <c r="E14" s="161"/>
      <c r="F14" s="162"/>
      <c r="G14" s="9">
        <v>0</v>
      </c>
      <c r="H14" s="9" t="s">
        <v>3</v>
      </c>
      <c r="I14" s="1"/>
    </row>
    <row r="15" spans="1:9" x14ac:dyDescent="0.25">
      <c r="A15" s="1"/>
      <c r="B15" s="160" t="s">
        <v>279</v>
      </c>
      <c r="C15" s="161"/>
      <c r="D15" s="161"/>
      <c r="E15" s="161"/>
      <c r="F15" s="162"/>
      <c r="G15" s="9">
        <v>0</v>
      </c>
      <c r="H15" s="9" t="s">
        <v>3</v>
      </c>
      <c r="I15" s="1"/>
    </row>
    <row r="16" spans="1:9" x14ac:dyDescent="0.25">
      <c r="A16" s="1"/>
      <c r="B16" s="160" t="s">
        <v>280</v>
      </c>
      <c r="C16" s="161"/>
      <c r="D16" s="161"/>
      <c r="E16" s="161"/>
      <c r="F16" s="162"/>
      <c r="G16" s="9">
        <v>0</v>
      </c>
      <c r="H16" s="9" t="s">
        <v>3</v>
      </c>
      <c r="I16" s="1"/>
    </row>
    <row r="17" spans="1:9" x14ac:dyDescent="0.25">
      <c r="A17" s="1"/>
      <c r="B17" s="160" t="s">
        <v>281</v>
      </c>
      <c r="C17" s="161"/>
      <c r="D17" s="161"/>
      <c r="E17" s="161"/>
      <c r="F17" s="162"/>
      <c r="G17" s="9">
        <v>0</v>
      </c>
      <c r="H17" s="9" t="s">
        <v>3</v>
      </c>
      <c r="I17" s="1"/>
    </row>
    <row r="18" spans="1:9" x14ac:dyDescent="0.25">
      <c r="A18" s="1"/>
      <c r="B18" s="128" t="s">
        <v>252</v>
      </c>
      <c r="C18" s="129"/>
      <c r="D18" s="129"/>
      <c r="E18" s="129"/>
      <c r="F18" s="13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zIbShxAu2vwYpRBlPsbzzMoI7hdelV/8HcTFaBXM0BKpbMgsNT7Tu6whNwxTOhTFBYuVUMZs1c3x1He4liS3bg==" saltValue="My1jVUOwSq6wcZxAlAlnWg=="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6" t="s">
        <v>254</v>
      </c>
      <c r="C3" s="136"/>
      <c r="D3" s="136"/>
      <c r="E3" s="136"/>
      <c r="F3" s="136"/>
      <c r="G3" s="1"/>
    </row>
    <row r="4" spans="1:7" ht="15" customHeight="1" x14ac:dyDescent="0.25">
      <c r="A4" s="1"/>
      <c r="B4" s="136"/>
      <c r="C4" s="136"/>
      <c r="D4" s="136"/>
      <c r="E4" s="136"/>
      <c r="F4" s="13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8" t="s">
        <v>208</v>
      </c>
      <c r="C9" s="129"/>
      <c r="D9" s="129"/>
      <c r="E9" s="129"/>
      <c r="F9" s="130"/>
      <c r="G9" s="1"/>
    </row>
    <row r="10" spans="1:7" x14ac:dyDescent="0.25">
      <c r="A10" s="1"/>
      <c r="B10" s="131" t="s">
        <v>100</v>
      </c>
      <c r="C10" s="132"/>
      <c r="D10" s="133"/>
      <c r="E10" s="7">
        <v>0</v>
      </c>
      <c r="F10" s="8" t="s">
        <v>3</v>
      </c>
      <c r="G10" s="1"/>
    </row>
    <row r="11" spans="1:7" x14ac:dyDescent="0.25">
      <c r="A11" s="1"/>
      <c r="B11" s="138" t="s">
        <v>209</v>
      </c>
      <c r="C11" s="139"/>
      <c r="D11" s="140"/>
      <c r="E11" s="7">
        <v>0</v>
      </c>
      <c r="F11" s="8" t="s">
        <v>3</v>
      </c>
      <c r="G11" s="1"/>
    </row>
    <row r="12" spans="1:7" x14ac:dyDescent="0.25">
      <c r="A12" s="1"/>
      <c r="B12" s="134" t="s">
        <v>101</v>
      </c>
      <c r="C12" s="135"/>
      <c r="D12" s="156"/>
      <c r="E12" s="10">
        <f>E11-E10</f>
        <v>0</v>
      </c>
      <c r="F12" s="11" t="s">
        <v>3</v>
      </c>
      <c r="G12" s="1"/>
    </row>
    <row r="13" spans="1:7" x14ac:dyDescent="0.25">
      <c r="A13" s="1"/>
      <c r="B13" s="128" t="s">
        <v>94</v>
      </c>
      <c r="C13" s="129"/>
      <c r="D13" s="129"/>
      <c r="E13" s="129"/>
      <c r="F13" s="130"/>
      <c r="G13" s="1"/>
    </row>
    <row r="14" spans="1:7" x14ac:dyDescent="0.25">
      <c r="A14" s="1"/>
      <c r="B14" s="138" t="s">
        <v>210</v>
      </c>
      <c r="C14" s="139"/>
      <c r="D14" s="140"/>
      <c r="E14" s="9">
        <v>313047</v>
      </c>
      <c r="F14" s="8" t="s">
        <v>3</v>
      </c>
      <c r="G14" s="1"/>
    </row>
    <row r="15" spans="1:7" x14ac:dyDescent="0.25">
      <c r="A15" s="1"/>
      <c r="B15" s="131" t="s">
        <v>211</v>
      </c>
      <c r="C15" s="132"/>
      <c r="D15" s="133"/>
      <c r="E15" s="9">
        <v>274220.53000000003</v>
      </c>
      <c r="F15" s="8" t="s">
        <v>3</v>
      </c>
      <c r="G15" s="1"/>
    </row>
    <row r="16" spans="1:7" x14ac:dyDescent="0.25">
      <c r="A16" s="1"/>
      <c r="B16" s="134" t="s">
        <v>101</v>
      </c>
      <c r="C16" s="135"/>
      <c r="D16" s="156"/>
      <c r="E16" s="10">
        <f>E15-E14</f>
        <v>-38826.469999999972</v>
      </c>
      <c r="F16" s="11" t="s">
        <v>3</v>
      </c>
      <c r="G16" s="1"/>
    </row>
    <row r="17" spans="1:7" x14ac:dyDescent="0.25">
      <c r="A17" s="1"/>
      <c r="B17" s="32" t="s">
        <v>212</v>
      </c>
      <c r="C17" s="27"/>
      <c r="D17" s="27"/>
      <c r="E17" s="12">
        <f>E12+E16</f>
        <v>-38826.469999999972</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wJs/kTKXnK3peSq8RJsxvrzCO1W/W+4FXCRuHmkRKnksyliIBptmPvrwRnz6rkPpSV+Qbyz3q+k7hqrDahVaQ==" saltValue="hurGef8WIVRYITjJ68qZZ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0" t="s">
        <v>255</v>
      </c>
      <c r="C3" s="120"/>
      <c r="D3" s="120"/>
      <c r="E3" s="120"/>
      <c r="F3" s="120"/>
      <c r="G3" s="120"/>
      <c r="H3" s="120"/>
      <c r="I3" s="120"/>
      <c r="J3" s="120"/>
      <c r="K3" s="120"/>
      <c r="L3" s="1"/>
    </row>
    <row r="4" spans="1:12" ht="15" customHeight="1" x14ac:dyDescent="0.25">
      <c r="A4" s="1"/>
      <c r="B4" s="120"/>
      <c r="C4" s="120"/>
      <c r="D4" s="120"/>
      <c r="E4" s="120"/>
      <c r="F4" s="120"/>
      <c r="G4" s="120"/>
      <c r="H4" s="120"/>
      <c r="I4" s="120"/>
      <c r="J4" s="120"/>
      <c r="K4" s="12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8" t="s">
        <v>219</v>
      </c>
      <c r="C8" s="129"/>
      <c r="D8" s="129"/>
      <c r="E8" s="129"/>
      <c r="F8" s="129"/>
      <c r="G8" s="129"/>
      <c r="H8" s="129"/>
      <c r="I8" s="129"/>
      <c r="J8" s="129"/>
      <c r="K8" s="130"/>
      <c r="L8" s="1"/>
    </row>
    <row r="9" spans="1:12" ht="39.75" customHeight="1" x14ac:dyDescent="0.25">
      <c r="A9" s="1"/>
      <c r="B9" s="18" t="s">
        <v>0</v>
      </c>
      <c r="C9" s="18" t="s">
        <v>1</v>
      </c>
      <c r="D9" s="163" t="s">
        <v>245</v>
      </c>
      <c r="E9" s="164"/>
      <c r="F9" s="163" t="s">
        <v>2</v>
      </c>
      <c r="G9" s="164"/>
      <c r="H9" s="163" t="s">
        <v>244</v>
      </c>
      <c r="I9" s="164"/>
      <c r="J9" s="163" t="s">
        <v>30</v>
      </c>
      <c r="K9" s="164"/>
      <c r="L9" s="1"/>
    </row>
    <row r="10" spans="1:12" x14ac:dyDescent="0.25">
      <c r="A10" s="1"/>
      <c r="B10" s="97" t="s">
        <v>272</v>
      </c>
      <c r="C10" s="41">
        <v>0</v>
      </c>
      <c r="D10" s="9">
        <v>0</v>
      </c>
      <c r="E10" s="14" t="s">
        <v>3</v>
      </c>
      <c r="F10" s="9">
        <f>IFERROR(D10/C10,0)</f>
        <v>0</v>
      </c>
      <c r="G10" s="14" t="s">
        <v>3</v>
      </c>
      <c r="H10" s="44">
        <v>0</v>
      </c>
      <c r="I10" s="14" t="s">
        <v>3</v>
      </c>
      <c r="J10" s="44">
        <v>0</v>
      </c>
      <c r="K10" s="14" t="s">
        <v>3</v>
      </c>
      <c r="L10" s="1"/>
    </row>
    <row r="11" spans="1:12" x14ac:dyDescent="0.25">
      <c r="A11" s="1"/>
      <c r="B11" s="85" t="s">
        <v>220</v>
      </c>
      <c r="C11" s="86"/>
      <c r="D11" s="87"/>
      <c r="E11" s="87"/>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prTUeLMOdyHL6L8s4hPSLiJpLDNm5Jnpy08bku+8kx+gOvSrjsbAfo5bsGzwW6HekYRhqtXGLQNtJ/sjqWfx+Q==" saltValue="+eouycOud1f4k0PWy2b7E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256</v>
      </c>
      <c r="C3" s="120"/>
      <c r="D3" s="120"/>
      <c r="E3" s="120"/>
      <c r="F3" s="120"/>
      <c r="G3" s="1"/>
    </row>
    <row r="4" spans="1:7" ht="1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270</v>
      </c>
      <c r="C11" s="21">
        <v>0</v>
      </c>
      <c r="D11" s="14" t="s">
        <v>3</v>
      </c>
      <c r="E11" s="9">
        <v>0</v>
      </c>
      <c r="F11" s="14" t="s">
        <v>3</v>
      </c>
      <c r="G11" s="1"/>
    </row>
    <row r="12" spans="1:7" x14ac:dyDescent="0.25">
      <c r="A12" s="1"/>
      <c r="B12" s="32" t="s">
        <v>156</v>
      </c>
      <c r="C12" s="12">
        <f>SUM(C10:C11)</f>
        <v>0</v>
      </c>
      <c r="D12" s="13" t="s">
        <v>3</v>
      </c>
      <c r="E12" s="12">
        <f>SUM(E10:E11)</f>
        <v>0</v>
      </c>
      <c r="F12" s="13" t="s">
        <v>3</v>
      </c>
      <c r="G12" s="1"/>
    </row>
    <row r="13" spans="1:7" x14ac:dyDescent="0.25">
      <c r="A13" s="1"/>
      <c r="B13" s="32" t="s">
        <v>213</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YOweFSMGLmYni9gFFgUvRTPIcC+ctIvsqkLZeC6SxJYDdBTsTdFj35NoZUTKVsME8sskWMM8zL0CSdsk4mLpg==" saltValue="Zx4TgPMv6dTt1afgY9YWu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257</v>
      </c>
      <c r="C3" s="120"/>
      <c r="D3" s="120"/>
      <c r="E3" s="120"/>
      <c r="F3" s="120"/>
      <c r="G3" s="1"/>
    </row>
    <row r="4" spans="1:7" ht="1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8" t="s">
        <v>97</v>
      </c>
      <c r="C8" s="129"/>
      <c r="D8" s="129"/>
      <c r="E8" s="129"/>
      <c r="F8" s="130"/>
      <c r="G8" s="1"/>
    </row>
    <row r="9" spans="1:7" x14ac:dyDescent="0.25">
      <c r="A9" s="1"/>
      <c r="B9" s="83" t="s">
        <v>17</v>
      </c>
      <c r="C9" s="83" t="s">
        <v>11</v>
      </c>
      <c r="D9" s="84"/>
      <c r="E9" s="83" t="s">
        <v>31</v>
      </c>
      <c r="F9" s="31"/>
      <c r="G9" s="1"/>
    </row>
    <row r="10" spans="1:7" x14ac:dyDescent="0.25">
      <c r="A10" s="1"/>
      <c r="B10" s="23" t="s">
        <v>271</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5"/>
      <c r="C14" s="165"/>
      <c r="D14" s="165"/>
      <c r="E14" s="165"/>
      <c r="F14" s="165"/>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5"/>
      <c r="C21" s="165"/>
      <c r="D21" s="165"/>
      <c r="E21" s="165"/>
      <c r="F21" s="165"/>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5"/>
      <c r="C28" s="165"/>
      <c r="D28" s="165"/>
      <c r="E28" s="165"/>
      <c r="F28" s="165"/>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Ft5THCAWbheJCPH/BJPVCDZLcCc5RRYtoUzXNkxy2KgAKCWhLw7ZPii9o1XuFdeiUL2LqtHKNSMSszlqodU2rQ==" saltValue="vFvs+aZpvxGMFMvTO1z/4A=="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6" t="s">
        <v>258</v>
      </c>
      <c r="C3" s="136"/>
      <c r="D3" s="136"/>
      <c r="E3" s="136"/>
      <c r="F3" s="136"/>
      <c r="G3" s="1"/>
    </row>
    <row r="4" spans="1:7" ht="15" customHeight="1" x14ac:dyDescent="0.25">
      <c r="A4" s="1"/>
      <c r="B4" s="136"/>
      <c r="C4" s="136"/>
      <c r="D4" s="136"/>
      <c r="E4" s="136"/>
      <c r="F4" s="136"/>
      <c r="G4" s="1"/>
    </row>
    <row r="5" spans="1:7" x14ac:dyDescent="0.25">
      <c r="A5" s="1"/>
      <c r="B5" s="136"/>
      <c r="C5" s="136"/>
      <c r="D5" s="136"/>
      <c r="E5" s="136"/>
      <c r="F5" s="136"/>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8" t="s">
        <v>91</v>
      </c>
      <c r="C9" s="129"/>
      <c r="D9" s="129"/>
      <c r="E9" s="129"/>
      <c r="F9" s="130"/>
      <c r="G9" s="1"/>
    </row>
    <row r="10" spans="1:7" x14ac:dyDescent="0.25">
      <c r="A10" s="1"/>
      <c r="B10" s="160" t="s">
        <v>224</v>
      </c>
      <c r="C10" s="161"/>
      <c r="D10" s="162"/>
      <c r="E10" s="9">
        <v>0</v>
      </c>
      <c r="F10" s="14" t="s">
        <v>3</v>
      </c>
      <c r="G10" s="1"/>
    </row>
    <row r="11" spans="1:7" x14ac:dyDescent="0.25">
      <c r="A11" s="1"/>
      <c r="B11" s="122" t="s">
        <v>10</v>
      </c>
      <c r="C11" s="123"/>
      <c r="D11" s="124"/>
      <c r="E11" s="9">
        <f>-E10*'Fane 5. Individuelt eff. krav'!G9</f>
        <v>0</v>
      </c>
      <c r="F11" s="14" t="s">
        <v>3</v>
      </c>
      <c r="G11" s="1"/>
    </row>
    <row r="12" spans="1:7" x14ac:dyDescent="0.25">
      <c r="A12" s="1"/>
      <c r="B12" s="122" t="s">
        <v>24</v>
      </c>
      <c r="C12" s="123"/>
      <c r="D12" s="124"/>
      <c r="E12" s="9">
        <f>-E10*'Fane 15. Nøgletal'!C31</f>
        <v>0</v>
      </c>
      <c r="F12" s="14" t="s">
        <v>3</v>
      </c>
      <c r="G12" s="1"/>
    </row>
    <row r="13" spans="1:7" x14ac:dyDescent="0.25">
      <c r="A13" s="1"/>
      <c r="B13" s="128" t="s">
        <v>92</v>
      </c>
      <c r="C13" s="129"/>
      <c r="D13" s="130"/>
      <c r="E13" s="12">
        <f>SUM(E10:E12)*(1+'Fane 15. Nøgletal'!C15)^2</f>
        <v>0</v>
      </c>
      <c r="F13" s="13" t="s">
        <v>3</v>
      </c>
      <c r="G13" s="1"/>
    </row>
    <row r="14" spans="1:7" x14ac:dyDescent="0.25">
      <c r="A14" s="1"/>
      <c r="B14" s="1"/>
      <c r="C14" s="1"/>
      <c r="D14" s="1"/>
      <c r="E14" s="1"/>
      <c r="F14" s="1"/>
      <c r="G14" s="1"/>
    </row>
    <row r="15" spans="1:7" ht="15" customHeight="1" x14ac:dyDescent="0.25">
      <c r="A15" s="1"/>
      <c r="B15" s="128" t="s">
        <v>130</v>
      </c>
      <c r="C15" s="129"/>
      <c r="D15" s="129"/>
      <c r="E15" s="129"/>
      <c r="F15" s="130"/>
      <c r="G15" s="1"/>
    </row>
    <row r="16" spans="1:7" x14ac:dyDescent="0.25">
      <c r="A16" s="1"/>
      <c r="B16" s="160" t="s">
        <v>224</v>
      </c>
      <c r="C16" s="161"/>
      <c r="D16" s="162"/>
      <c r="E16" s="9">
        <v>0</v>
      </c>
      <c r="F16" s="14" t="s">
        <v>3</v>
      </c>
      <c r="G16" s="1"/>
    </row>
    <row r="17" spans="1:7" x14ac:dyDescent="0.25">
      <c r="A17" s="1"/>
      <c r="B17" s="122" t="s">
        <v>10</v>
      </c>
      <c r="C17" s="123"/>
      <c r="D17" s="124"/>
      <c r="E17" s="9">
        <f>-E16*'Fane 5. Individuelt eff. krav'!G9</f>
        <v>0</v>
      </c>
      <c r="F17" s="14" t="s">
        <v>3</v>
      </c>
      <c r="G17" s="1"/>
    </row>
    <row r="18" spans="1:7" x14ac:dyDescent="0.25">
      <c r="A18" s="1"/>
      <c r="B18" s="122" t="s">
        <v>24</v>
      </c>
      <c r="C18" s="123"/>
      <c r="D18" s="124"/>
      <c r="E18" s="9">
        <f>-E16*'Fane 15. Nøgletal'!C31</f>
        <v>0</v>
      </c>
      <c r="F18" s="14" t="s">
        <v>3</v>
      </c>
      <c r="G18" s="1"/>
    </row>
    <row r="19" spans="1:7" x14ac:dyDescent="0.25">
      <c r="A19" s="1"/>
      <c r="B19" s="128" t="s">
        <v>131</v>
      </c>
      <c r="C19" s="129"/>
      <c r="D19" s="130"/>
      <c r="E19" s="12">
        <f>SUM(E16:E18)*(1+'Fane 15. Nøgletal'!C15)^3</f>
        <v>0</v>
      </c>
      <c r="F19" s="13" t="s">
        <v>3</v>
      </c>
      <c r="G19" s="1"/>
    </row>
    <row r="20" spans="1:7" x14ac:dyDescent="0.25">
      <c r="A20" s="1"/>
      <c r="B20" s="1"/>
      <c r="C20" s="1"/>
      <c r="D20" s="1"/>
      <c r="E20" s="1"/>
      <c r="F20" s="1"/>
      <c r="G20" s="1"/>
    </row>
    <row r="21" spans="1:7" ht="15" customHeight="1" x14ac:dyDescent="0.25">
      <c r="A21" s="1"/>
      <c r="B21" s="128" t="s">
        <v>157</v>
      </c>
      <c r="C21" s="129"/>
      <c r="D21" s="129"/>
      <c r="E21" s="129"/>
      <c r="F21" s="130"/>
      <c r="G21" s="1"/>
    </row>
    <row r="22" spans="1:7" x14ac:dyDescent="0.25">
      <c r="A22" s="1"/>
      <c r="B22" s="160" t="s">
        <v>224</v>
      </c>
      <c r="C22" s="161"/>
      <c r="D22" s="162"/>
      <c r="E22" s="9">
        <v>0</v>
      </c>
      <c r="F22" s="14" t="s">
        <v>3</v>
      </c>
      <c r="G22" s="1"/>
    </row>
    <row r="23" spans="1:7" x14ac:dyDescent="0.25">
      <c r="A23" s="1"/>
      <c r="B23" s="122" t="s">
        <v>10</v>
      </c>
      <c r="C23" s="123"/>
      <c r="D23" s="124"/>
      <c r="E23" s="9">
        <f>-E22*'Fane 5. Individuelt eff. krav'!G9</f>
        <v>0</v>
      </c>
      <c r="F23" s="14" t="s">
        <v>3</v>
      </c>
      <c r="G23" s="1"/>
    </row>
    <row r="24" spans="1:7" x14ac:dyDescent="0.25">
      <c r="A24" s="1"/>
      <c r="B24" s="122" t="s">
        <v>24</v>
      </c>
      <c r="C24" s="123"/>
      <c r="D24" s="124"/>
      <c r="E24" s="9">
        <f>-E22*'Fane 15. Nøgletal'!C31</f>
        <v>0</v>
      </c>
      <c r="F24" s="14" t="s">
        <v>3</v>
      </c>
      <c r="G24" s="1"/>
    </row>
    <row r="25" spans="1:7" x14ac:dyDescent="0.25">
      <c r="A25" s="1"/>
      <c r="B25" s="128" t="s">
        <v>158</v>
      </c>
      <c r="C25" s="129"/>
      <c r="D25" s="130"/>
      <c r="E25" s="12">
        <f>SUM(E22:E24)*(1+'Fane 15. Nøgletal'!C15)^4</f>
        <v>0</v>
      </c>
      <c r="F25" s="13" t="s">
        <v>3</v>
      </c>
      <c r="G25" s="1"/>
    </row>
    <row r="26" spans="1:7" x14ac:dyDescent="0.25">
      <c r="A26" s="1"/>
      <c r="B26" s="1"/>
      <c r="C26" s="1"/>
      <c r="D26" s="1"/>
      <c r="E26" s="1"/>
      <c r="F26" s="1"/>
      <c r="G26" s="1"/>
    </row>
    <row r="27" spans="1:7" ht="15" customHeight="1" x14ac:dyDescent="0.25">
      <c r="A27" s="1"/>
      <c r="B27" s="128" t="s">
        <v>214</v>
      </c>
      <c r="C27" s="129"/>
      <c r="D27" s="129"/>
      <c r="E27" s="129"/>
      <c r="F27" s="130"/>
      <c r="G27" s="1"/>
    </row>
    <row r="28" spans="1:7" ht="14.25" customHeight="1" x14ac:dyDescent="0.25">
      <c r="A28" s="1"/>
      <c r="B28" s="160" t="s">
        <v>224</v>
      </c>
      <c r="C28" s="161"/>
      <c r="D28" s="162"/>
      <c r="E28" s="9">
        <v>0</v>
      </c>
      <c r="F28" s="14" t="s">
        <v>3</v>
      </c>
      <c r="G28" s="1"/>
    </row>
    <row r="29" spans="1:7" x14ac:dyDescent="0.25">
      <c r="A29" s="1"/>
      <c r="B29" s="122" t="s">
        <v>10</v>
      </c>
      <c r="C29" s="123"/>
      <c r="D29" s="124"/>
      <c r="E29" s="9">
        <f>-E28*'Fane 5. Individuelt eff. krav'!G9</f>
        <v>0</v>
      </c>
      <c r="F29" s="14" t="s">
        <v>3</v>
      </c>
      <c r="G29" s="1"/>
    </row>
    <row r="30" spans="1:7" x14ac:dyDescent="0.25">
      <c r="A30" s="1"/>
      <c r="B30" s="122" t="s">
        <v>24</v>
      </c>
      <c r="C30" s="123"/>
      <c r="D30" s="124"/>
      <c r="E30" s="9">
        <f>-E28*'Fane 15. Nøgletal'!C31</f>
        <v>0</v>
      </c>
      <c r="F30" s="14" t="s">
        <v>3</v>
      </c>
      <c r="G30" s="1"/>
    </row>
    <row r="31" spans="1:7" x14ac:dyDescent="0.25">
      <c r="A31" s="1"/>
      <c r="B31" s="128" t="s">
        <v>215</v>
      </c>
      <c r="C31" s="129"/>
      <c r="D31" s="130"/>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vdp6fLiKMEGIewXvJ642PJrvo6DhJeGQjISAyHZDcuf2vNWDek8epmcSOVFuqsRXvrtYn4nK+KMOQHWUvvqvuQ==" saltValue="ntLp7gGRzVLMlCInNHKvAQ=="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6" t="s">
        <v>259</v>
      </c>
      <c r="C3" s="136"/>
      <c r="D3" s="136"/>
      <c r="E3" s="136"/>
      <c r="F3" s="136"/>
      <c r="G3" s="1"/>
    </row>
    <row r="4" spans="1:7" ht="25.5" customHeight="1" x14ac:dyDescent="0.25">
      <c r="A4" s="1"/>
      <c r="B4" s="136"/>
      <c r="C4" s="136"/>
      <c r="D4" s="136"/>
      <c r="E4" s="136"/>
      <c r="F4" s="13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8" t="s">
        <v>132</v>
      </c>
      <c r="C8" s="129"/>
      <c r="D8" s="129"/>
      <c r="E8" s="129"/>
      <c r="F8" s="130"/>
      <c r="G8" s="1"/>
    </row>
    <row r="9" spans="1:7" ht="15" customHeight="1" x14ac:dyDescent="0.25">
      <c r="A9" s="1"/>
      <c r="B9" s="30" t="s">
        <v>133</v>
      </c>
      <c r="C9" s="30" t="s">
        <v>11</v>
      </c>
      <c r="D9" s="31"/>
      <c r="E9" s="30" t="s">
        <v>31</v>
      </c>
      <c r="F9" s="31"/>
      <c r="G9" s="1"/>
    </row>
    <row r="10" spans="1:7" x14ac:dyDescent="0.25">
      <c r="A10" s="1"/>
      <c r="B10" s="23" t="s">
        <v>273</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Rw9U8wsCMCZ/7yHrl5s9mWNYQxaOI5uMa/nbAisXyKIkgZk6k+iTj+7KzwGDfM7gtefcU3vJcNtZeIKf8EWhuw==" saltValue="jrJn8sBw7zZ+RlgbtAQJV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6" t="s">
        <v>260</v>
      </c>
      <c r="C3" s="136"/>
      <c r="D3" s="136"/>
      <c r="E3" s="136"/>
      <c r="F3" s="136"/>
      <c r="G3" s="1"/>
    </row>
    <row r="4" spans="1:7" ht="25.5" customHeight="1" x14ac:dyDescent="0.25">
      <c r="A4" s="1"/>
      <c r="B4" s="136"/>
      <c r="C4" s="136"/>
      <c r="D4" s="136"/>
      <c r="E4" s="136"/>
      <c r="F4" s="13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8" t="s">
        <v>93</v>
      </c>
      <c r="C9" s="129"/>
      <c r="D9" s="129"/>
      <c r="E9" s="129"/>
      <c r="F9" s="130"/>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5"/>
      <c r="C15" s="165"/>
      <c r="D15" s="165"/>
      <c r="E15" s="165"/>
      <c r="F15" s="165"/>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5"/>
      <c r="C21" s="165"/>
      <c r="D21" s="165"/>
      <c r="E21" s="165"/>
      <c r="F21" s="165"/>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5"/>
      <c r="C27" s="165"/>
      <c r="D27" s="165"/>
      <c r="E27" s="165"/>
      <c r="F27" s="165"/>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GhMTB5fBP0f8eYSjkswW0bltTJQsI5KlJgvpOWM+n/KU4X8cuoLKtnKPYmVPGFg+BQ2lNDGM8TmPk9GtRbXEqA==" saltValue="pIUf1QyMHQtI5kwrOrRkf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0" t="s">
        <v>181</v>
      </c>
      <c r="C3" s="120"/>
      <c r="D3" s="120"/>
      <c r="E3" s="1"/>
    </row>
    <row r="4" spans="1:5" ht="15" customHeight="1" x14ac:dyDescent="0.25">
      <c r="A4" s="1"/>
      <c r="B4" s="120"/>
      <c r="C4" s="120"/>
      <c r="D4" s="12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48502875.649954237</v>
      </c>
      <c r="D9" s="8" t="s">
        <v>3</v>
      </c>
      <c r="E9" s="1"/>
    </row>
    <row r="10" spans="1:5" ht="17.25" customHeight="1" x14ac:dyDescent="0.25">
      <c r="A10" s="1"/>
      <c r="B10" s="82" t="s">
        <v>39</v>
      </c>
      <c r="C10" s="7">
        <f>'Fane 11.1. Varige tillæg'!C13</f>
        <v>0</v>
      </c>
      <c r="D10" s="8" t="s">
        <v>3</v>
      </c>
      <c r="E10" s="1"/>
    </row>
    <row r="11" spans="1:5" ht="17.25" customHeight="1" x14ac:dyDescent="0.25">
      <c r="A11" s="1"/>
      <c r="B11" s="82" t="s">
        <v>40</v>
      </c>
      <c r="C11" s="9">
        <f>'Fane 11.1. Varige tillæg'!E13</f>
        <v>0</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160059.48964484897</v>
      </c>
      <c r="D16" s="8" t="s">
        <v>3</v>
      </c>
      <c r="E16" s="1"/>
    </row>
    <row r="17" spans="1:5" ht="17.25" customHeight="1" x14ac:dyDescent="0.25">
      <c r="A17" s="1"/>
      <c r="B17" s="82" t="s">
        <v>10</v>
      </c>
      <c r="C17" s="44">
        <f>-SUM(C9,C10:C16)*'Fane 5. Individuelt eff. krav'!G9</f>
        <v>0</v>
      </c>
      <c r="D17" s="8" t="s">
        <v>3</v>
      </c>
      <c r="E17" s="1"/>
    </row>
    <row r="18" spans="1:5" ht="17.25" customHeight="1" x14ac:dyDescent="0.25">
      <c r="A18" s="1"/>
      <c r="B18" s="82" t="s">
        <v>24</v>
      </c>
      <c r="C18" s="44">
        <f>-'Fane 4.1. Gen. krav - drift'!G45</f>
        <v>-224944.6339047896</v>
      </c>
      <c r="D18" s="8" t="s">
        <v>3</v>
      </c>
      <c r="E18" s="1"/>
    </row>
    <row r="19" spans="1:5" ht="17.25" customHeight="1" x14ac:dyDescent="0.25">
      <c r="A19" s="1"/>
      <c r="B19" s="82" t="s">
        <v>25</v>
      </c>
      <c r="C19" s="44">
        <f>-'Fane 4.2. Gen. krav - anlæg'!G43</f>
        <v>-570583.86359192722</v>
      </c>
      <c r="D19" s="8" t="s">
        <v>3</v>
      </c>
      <c r="E19" s="48"/>
    </row>
    <row r="20" spans="1:5" ht="17.25" customHeight="1" x14ac:dyDescent="0.25">
      <c r="A20" s="1"/>
      <c r="B20" s="88" t="s">
        <v>21</v>
      </c>
      <c r="C20" s="10">
        <f>SUM(C9:C19)</f>
        <v>47867406.642102368</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18141507.72849904</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0</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0</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-38826.469999999972</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65970087.900601409</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DzhVfesLWysK7/mP/TQ61K8lqZjUlXGfkFvt9rnrmfLcXIeEq46KimMQyXsyU1acyRzElEvgcHmD5L4325KS0g==" saltValue="qI7rPiitCb4WJJNUKkJLu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6" t="s">
        <v>261</v>
      </c>
      <c r="C3" s="136"/>
      <c r="D3" s="1"/>
    </row>
    <row r="4" spans="1:4" ht="25.5" customHeight="1" x14ac:dyDescent="0.25">
      <c r="A4" s="1"/>
      <c r="B4" s="136"/>
      <c r="C4" s="13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jhrG+GOPbwBiKauciT0G92UioBYEQ/WN5zVX9SLpdqIkIwjb7R450PvY5Zw2pwamPyQGZzvl5nXSW2qVXz17wQ==" saltValue="OGs9WDP6TUZmbH5H6eT7z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0" t="s">
        <v>186</v>
      </c>
      <c r="C3" s="120"/>
      <c r="D3" s="120"/>
      <c r="E3" s="1"/>
    </row>
    <row r="4" spans="1:5" ht="15" customHeight="1" x14ac:dyDescent="0.25">
      <c r="A4" s="1"/>
      <c r="B4" s="120"/>
      <c r="C4" s="120"/>
      <c r="D4" s="120"/>
      <c r="E4" s="1"/>
    </row>
    <row r="5" spans="1:5" x14ac:dyDescent="0.25">
      <c r="A5" s="1"/>
      <c r="B5" s="121" t="s">
        <v>22</v>
      </c>
      <c r="C5" s="121"/>
      <c r="D5" s="12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47867406.642102368</v>
      </c>
      <c r="D9" s="8" t="s">
        <v>3</v>
      </c>
      <c r="E9" s="1"/>
    </row>
    <row r="10" spans="1:5" ht="15" customHeight="1" x14ac:dyDescent="0.25">
      <c r="A10" s="1"/>
      <c r="B10" s="25" t="s">
        <v>19</v>
      </c>
      <c r="C10" s="7">
        <f>SUM(C9:C9)*'Fane 15. Nøgletal'!C15</f>
        <v>1704079.6764588442</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drift'!G53</f>
        <v>-228293.60961436413</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49343192.708946846</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omk.'!C20+'Fane 6. Ikke-påvirkelige omk.'!C38</f>
        <v>18776629.557493616</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68119822.266440466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R10Gi4IbvqBhquePaTWFYbkA3ZSUZIsim7H6TEIvJX89VHn+LcJNGHtUR9FG42AiQlxzw/SLsFh02g+j+dlNXw==" saltValue="zN+ujDtWdzNfKiuQjn+ts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0" t="s">
        <v>187</v>
      </c>
      <c r="C3" s="120"/>
      <c r="D3" s="120"/>
      <c r="E3" s="1"/>
    </row>
    <row r="4" spans="1:5" ht="15" customHeight="1" x14ac:dyDescent="0.25">
      <c r="A4" s="1"/>
      <c r="B4" s="120"/>
      <c r="C4" s="120"/>
      <c r="D4" s="120"/>
      <c r="E4" s="1"/>
    </row>
    <row r="5" spans="1:5" x14ac:dyDescent="0.25">
      <c r="A5" s="1"/>
      <c r="B5" s="121" t="s">
        <v>22</v>
      </c>
      <c r="C5" s="121"/>
      <c r="D5" s="121"/>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49343192.708946846</v>
      </c>
      <c r="D9" s="8" t="s">
        <v>3</v>
      </c>
      <c r="E9" s="1"/>
    </row>
    <row r="10" spans="1:5" ht="15" customHeight="1" x14ac:dyDescent="0.25">
      <c r="A10" s="1"/>
      <c r="B10" s="25" t="s">
        <v>19</v>
      </c>
      <c r="C10" s="7">
        <f>SUM(C9:C9)*'Fane 15. Nøgletal'!C15</f>
        <v>1756617.6604385078</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drift'!G58</f>
        <v>-231692.44487430278</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50868117.924511053</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19434352.232678387</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70302470.157189444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y5pIIJcHQYSbQ3IoqYz3hogb2IdtxjTXpKqwIt1ctfACoQ0gSAD7p14iO01ZcBftXyzdZRrO4TEJNtyJXygM+g==" saltValue="mZTTtNp5py9fT5gK5UFNu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0" t="s">
        <v>188</v>
      </c>
      <c r="C3" s="120"/>
      <c r="D3" s="120"/>
      <c r="E3" s="1"/>
    </row>
    <row r="4" spans="1:5" ht="15" customHeight="1" x14ac:dyDescent="0.25">
      <c r="A4" s="1"/>
      <c r="B4" s="120"/>
      <c r="C4" s="120"/>
      <c r="D4" s="120"/>
      <c r="E4" s="1"/>
    </row>
    <row r="5" spans="1:5" x14ac:dyDescent="0.25">
      <c r="A5" s="1"/>
      <c r="B5" s="121" t="s">
        <v>22</v>
      </c>
      <c r="C5" s="121"/>
      <c r="D5" s="121"/>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50868117.924511053</v>
      </c>
      <c r="D9" s="8" t="s">
        <v>3</v>
      </c>
      <c r="E9" s="1"/>
    </row>
    <row r="10" spans="1:5" ht="15" customHeight="1" x14ac:dyDescent="0.25">
      <c r="A10" s="1"/>
      <c r="B10" s="25" t="s">
        <v>19</v>
      </c>
      <c r="C10" s="7">
        <f>SUM(C9:C9)*'Fane 15. Nøgletal'!C15</f>
        <v>1810904.9981125935</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drift'!G63</f>
        <v>-235141.88199359141</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52443881.040630057</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Nøgletal'!C15)^3+'Fane 6. Ikke-påvirkelige omk.'!C22+'Fane 6. Ikke-påvirkelige omk.'!C30</f>
        <v>19832246.549962211</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72276127.590592265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OEhQFLljcJkdF+BQIH+nR6m0Bw0OA2y6ZFjgBB0KckQ0VgaL6wy+35d/QgrH1SjkSgkbq1nVZzPRPQB4GHxuXg==" saltValue="OEnVu0KYV+QX388d5agNh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6" t="s">
        <v>191</v>
      </c>
      <c r="C3" s="136"/>
      <c r="D3" s="136"/>
      <c r="E3" s="136"/>
      <c r="F3" s="136"/>
      <c r="G3" s="1"/>
    </row>
    <row r="4" spans="1:7" ht="29.25" customHeight="1" x14ac:dyDescent="0.25">
      <c r="A4" s="1"/>
      <c r="B4" s="136"/>
      <c r="C4" s="136"/>
      <c r="D4" s="136"/>
      <c r="E4" s="136"/>
      <c r="F4" s="13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286</v>
      </c>
      <c r="C8" s="27"/>
      <c r="D8" s="27"/>
      <c r="E8" s="27"/>
      <c r="F8" s="19"/>
      <c r="G8" s="1"/>
    </row>
    <row r="9" spans="1:7" ht="15" customHeight="1" x14ac:dyDescent="0.25">
      <c r="A9" s="1"/>
      <c r="B9" s="131" t="s">
        <v>192</v>
      </c>
      <c r="C9" s="132"/>
      <c r="D9" s="133"/>
      <c r="E9" s="7">
        <v>49146722.268504418</v>
      </c>
      <c r="F9" s="8" t="s">
        <v>3</v>
      </c>
      <c r="G9" s="1"/>
    </row>
    <row r="10" spans="1:7" ht="15" customHeight="1" x14ac:dyDescent="0.25">
      <c r="A10" s="1"/>
      <c r="B10" s="122" t="s">
        <v>39</v>
      </c>
      <c r="C10" s="123"/>
      <c r="D10" s="124"/>
      <c r="E10" s="7">
        <v>0</v>
      </c>
      <c r="F10" s="8" t="s">
        <v>3</v>
      </c>
      <c r="G10" s="1"/>
    </row>
    <row r="11" spans="1:7" ht="15" customHeight="1" x14ac:dyDescent="0.25">
      <c r="A11" s="1"/>
      <c r="B11" s="122" t="s">
        <v>40</v>
      </c>
      <c r="C11" s="123"/>
      <c r="D11" s="124"/>
      <c r="E11" s="9">
        <v>0</v>
      </c>
      <c r="F11" s="8" t="s">
        <v>3</v>
      </c>
      <c r="G11" s="1"/>
    </row>
    <row r="12" spans="1:7" ht="15" customHeight="1" x14ac:dyDescent="0.25">
      <c r="A12" s="1"/>
      <c r="B12" s="122" t="s">
        <v>27</v>
      </c>
      <c r="C12" s="123"/>
      <c r="D12" s="124"/>
      <c r="E12" s="9">
        <v>0</v>
      </c>
      <c r="F12" s="8" t="s">
        <v>3</v>
      </c>
      <c r="G12" s="1"/>
    </row>
    <row r="13" spans="1:7" ht="15" customHeight="1" x14ac:dyDescent="0.25">
      <c r="A13" s="1"/>
      <c r="B13" s="131" t="s">
        <v>26</v>
      </c>
      <c r="C13" s="132"/>
      <c r="D13" s="133"/>
      <c r="E13" s="9">
        <v>0</v>
      </c>
      <c r="F13" s="8" t="s">
        <v>3</v>
      </c>
      <c r="G13" s="1"/>
    </row>
    <row r="14" spans="1:7" ht="15" customHeight="1" x14ac:dyDescent="0.25">
      <c r="A14" s="1"/>
      <c r="B14" s="131" t="s">
        <v>29</v>
      </c>
      <c r="C14" s="132"/>
      <c r="D14" s="133"/>
      <c r="E14" s="9">
        <v>0</v>
      </c>
      <c r="F14" s="8" t="s">
        <v>3</v>
      </c>
      <c r="G14" s="1"/>
    </row>
    <row r="15" spans="1:7" ht="15" customHeight="1" x14ac:dyDescent="0.25">
      <c r="A15" s="1"/>
      <c r="B15" s="131" t="s">
        <v>28</v>
      </c>
      <c r="C15" s="132"/>
      <c r="D15" s="133"/>
      <c r="E15" s="9">
        <v>0</v>
      </c>
      <c r="F15" s="8" t="s">
        <v>3</v>
      </c>
      <c r="G15" s="1"/>
    </row>
    <row r="16" spans="1:7" ht="15" customHeight="1" x14ac:dyDescent="0.25">
      <c r="A16" s="1"/>
      <c r="B16" s="131" t="s">
        <v>19</v>
      </c>
      <c r="C16" s="132"/>
      <c r="D16" s="133"/>
      <c r="E16" s="9">
        <f>SUM(E9:E15)*'Fane 15. Nøgletal'!C14</f>
        <v>162184.18348606458</v>
      </c>
      <c r="F16" s="8" t="s">
        <v>3</v>
      </c>
      <c r="G16" s="1"/>
    </row>
    <row r="17" spans="1:7" ht="15" customHeight="1" x14ac:dyDescent="0.25">
      <c r="A17" s="1"/>
      <c r="B17" s="131" t="s">
        <v>10</v>
      </c>
      <c r="C17" s="132"/>
      <c r="D17" s="133"/>
      <c r="E17" s="9">
        <v>0</v>
      </c>
      <c r="F17" s="8" t="s">
        <v>3</v>
      </c>
      <c r="G17" s="1"/>
    </row>
    <row r="18" spans="1:7" ht="15" customHeight="1" x14ac:dyDescent="0.25">
      <c r="A18" s="1"/>
      <c r="B18" s="131" t="s">
        <v>24</v>
      </c>
      <c r="C18" s="132"/>
      <c r="D18" s="133"/>
      <c r="E18" s="9">
        <f>-'Fane 4.1. Gen. krav - drift'!G39</f>
        <v>-228780.36551298024</v>
      </c>
      <c r="F18" s="8" t="s">
        <v>3</v>
      </c>
      <c r="G18" s="1"/>
    </row>
    <row r="19" spans="1:7" ht="15" customHeight="1" x14ac:dyDescent="0.25">
      <c r="A19" s="1"/>
      <c r="B19" s="131" t="s">
        <v>25</v>
      </c>
      <c r="C19" s="132"/>
      <c r="D19" s="133"/>
      <c r="E19" s="9">
        <f>-'Fane 4.2. Gen. krav - anlæg'!G37</f>
        <v>-577250.43652326451</v>
      </c>
      <c r="F19" s="8" t="s">
        <v>3</v>
      </c>
      <c r="G19" s="1"/>
    </row>
    <row r="20" spans="1:7" ht="15" customHeight="1" x14ac:dyDescent="0.25">
      <c r="A20" s="1"/>
      <c r="B20" s="54" t="s">
        <v>21</v>
      </c>
      <c r="C20" s="89"/>
      <c r="D20" s="96"/>
      <c r="E20" s="51">
        <f>SUM(E9:E19)</f>
        <v>48502875.649954237</v>
      </c>
      <c r="F20" s="53" t="s">
        <v>3</v>
      </c>
      <c r="G20" s="1"/>
    </row>
    <row r="21" spans="1:7" ht="15" customHeight="1" x14ac:dyDescent="0.25">
      <c r="A21" s="1"/>
      <c r="B21" s="32" t="s">
        <v>12</v>
      </c>
      <c r="C21" s="27"/>
      <c r="D21" s="27"/>
      <c r="E21" s="27"/>
      <c r="F21" s="19"/>
      <c r="G21" s="1"/>
    </row>
    <row r="22" spans="1:7" ht="15" customHeight="1" x14ac:dyDescent="0.25">
      <c r="A22" s="1"/>
      <c r="B22" s="125" t="s">
        <v>12</v>
      </c>
      <c r="C22" s="126"/>
      <c r="D22" s="127"/>
      <c r="E22" s="10">
        <v>17412023.124488264</v>
      </c>
      <c r="F22" s="11" t="s">
        <v>3</v>
      </c>
      <c r="G22" s="1"/>
    </row>
    <row r="23" spans="1:7" ht="15" customHeight="1" x14ac:dyDescent="0.25">
      <c r="A23" s="1"/>
      <c r="B23" s="128" t="s">
        <v>86</v>
      </c>
      <c r="C23" s="129"/>
      <c r="D23" s="130"/>
      <c r="E23" s="27"/>
      <c r="F23" s="27"/>
      <c r="G23" s="1"/>
    </row>
    <row r="24" spans="1:7" ht="15" customHeight="1" x14ac:dyDescent="0.25">
      <c r="A24" s="1"/>
      <c r="B24" s="8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2" t="s">
        <v>81</v>
      </c>
      <c r="C26" s="123"/>
      <c r="D26" s="124"/>
      <c r="E26" s="9">
        <v>0</v>
      </c>
      <c r="F26" s="8" t="s">
        <v>3</v>
      </c>
      <c r="G26" s="1"/>
    </row>
    <row r="27" spans="1:7" ht="15" customHeight="1" x14ac:dyDescent="0.25">
      <c r="A27" s="1"/>
      <c r="B27" s="122" t="s">
        <v>82</v>
      </c>
      <c r="C27" s="123"/>
      <c r="D27" s="123"/>
      <c r="E27" s="9">
        <v>0</v>
      </c>
      <c r="F27" s="8" t="s">
        <v>3</v>
      </c>
      <c r="G27" s="1"/>
    </row>
    <row r="28" spans="1:7" ht="15" customHeight="1" x14ac:dyDescent="0.25">
      <c r="A28" s="1"/>
      <c r="B28" s="134" t="s">
        <v>87</v>
      </c>
      <c r="C28" s="135"/>
      <c r="D28" s="135"/>
      <c r="E28" s="39">
        <v>0</v>
      </c>
      <c r="F28" s="11" t="s">
        <v>3</v>
      </c>
      <c r="G28" s="1"/>
    </row>
    <row r="29" spans="1:7" ht="15" customHeight="1" x14ac:dyDescent="0.25">
      <c r="A29" s="1"/>
      <c r="B29" s="32" t="s">
        <v>143</v>
      </c>
      <c r="C29" s="32"/>
      <c r="D29" s="32"/>
      <c r="E29" s="27"/>
      <c r="F29" s="27"/>
      <c r="G29" s="1"/>
    </row>
    <row r="30" spans="1:7" ht="15" customHeight="1" x14ac:dyDescent="0.25">
      <c r="A30" s="1"/>
      <c r="B30" s="125" t="s">
        <v>142</v>
      </c>
      <c r="C30" s="126"/>
      <c r="D30" s="126"/>
      <c r="E30" s="39">
        <v>0</v>
      </c>
      <c r="F30" s="11" t="s">
        <v>3</v>
      </c>
      <c r="G30" s="1"/>
    </row>
    <row r="31" spans="1:7" x14ac:dyDescent="0.25">
      <c r="A31" s="1"/>
      <c r="B31" s="32" t="s">
        <v>123</v>
      </c>
      <c r="C31" s="27"/>
      <c r="D31" s="27"/>
      <c r="E31" s="27"/>
      <c r="F31" s="27"/>
      <c r="G31" s="1"/>
    </row>
    <row r="32" spans="1:7" ht="15.4" customHeight="1" x14ac:dyDescent="0.25">
      <c r="A32" s="1"/>
      <c r="B32" s="125" t="s">
        <v>123</v>
      </c>
      <c r="C32" s="126"/>
      <c r="D32" s="127"/>
      <c r="E32" s="10">
        <v>-498493.43950580579</v>
      </c>
      <c r="F32" s="11" t="s">
        <v>3</v>
      </c>
      <c r="G32" s="1"/>
    </row>
    <row r="33" spans="1:7" ht="15.4" customHeight="1" x14ac:dyDescent="0.25">
      <c r="A33" s="1"/>
      <c r="B33" s="128" t="s">
        <v>175</v>
      </c>
      <c r="C33" s="129"/>
      <c r="D33" s="129"/>
      <c r="E33" s="129"/>
      <c r="F33" s="130"/>
      <c r="G33" s="1"/>
    </row>
    <row r="34" spans="1:7" ht="15.4" customHeight="1" x14ac:dyDescent="0.25">
      <c r="A34" s="1"/>
      <c r="B34" s="95" t="s">
        <v>176</v>
      </c>
      <c r="C34" s="10"/>
      <c r="D34" s="11"/>
      <c r="E34" s="10">
        <f>'Fane 8. Skattesagen'!G11</f>
        <v>0</v>
      </c>
      <c r="F34" s="11" t="s">
        <v>3</v>
      </c>
      <c r="G34" s="1"/>
    </row>
    <row r="35" spans="1:7" x14ac:dyDescent="0.25">
      <c r="A35" s="1"/>
      <c r="B35" s="55" t="s">
        <v>218</v>
      </c>
      <c r="C35" s="56"/>
      <c r="D35" s="19"/>
      <c r="E35" s="45">
        <f>SUM(E32,E30,E28,E24,E22,E20,E34)</f>
        <v>65416405.334936693</v>
      </c>
      <c r="F35" s="52" t="s">
        <v>3</v>
      </c>
      <c r="G35" s="1"/>
    </row>
    <row r="36" spans="1:7" ht="27" customHeight="1" x14ac:dyDescent="0.25">
      <c r="A36" s="1"/>
      <c r="B36" s="131" t="s">
        <v>222</v>
      </c>
      <c r="C36" s="132"/>
      <c r="D36" s="132"/>
      <c r="E36" s="132"/>
      <c r="F36" s="13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KxOGn7Pr97j8rHdb0aj55F0/4KbntLFLJuRILudN5rkisT1fIim7M+flwZNDex68fQo0NNDrQEc2XoC6zh7WSg==" saltValue="NDRjG+TbM24VXGVeXcLYKg=="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6" t="s">
        <v>109</v>
      </c>
      <c r="C2" s="136"/>
      <c r="D2" s="136"/>
      <c r="E2" s="136"/>
      <c r="F2" s="136"/>
      <c r="G2" s="136"/>
      <c r="H2" s="136"/>
      <c r="I2" s="1"/>
    </row>
    <row r="3" spans="1:9" ht="28.5" customHeight="1" x14ac:dyDescent="0.25">
      <c r="A3" s="1"/>
      <c r="B3" s="136"/>
      <c r="C3" s="136"/>
      <c r="D3" s="136"/>
      <c r="E3" s="136"/>
      <c r="F3" s="136"/>
      <c r="G3" s="136"/>
      <c r="H3" s="136"/>
      <c r="I3" s="1"/>
    </row>
    <row r="4" spans="1:9" x14ac:dyDescent="0.25">
      <c r="A4" s="1"/>
      <c r="B4" s="128" t="s">
        <v>52</v>
      </c>
      <c r="C4" s="129"/>
      <c r="D4" s="129"/>
      <c r="E4" s="129"/>
      <c r="F4" s="129"/>
      <c r="G4" s="129"/>
      <c r="H4" s="130"/>
      <c r="I4" s="1"/>
    </row>
    <row r="5" spans="1:9" x14ac:dyDescent="0.25">
      <c r="A5" s="1"/>
      <c r="B5" s="138" t="s">
        <v>41</v>
      </c>
      <c r="C5" s="139"/>
      <c r="D5" s="139"/>
      <c r="E5" s="139"/>
      <c r="F5" s="140"/>
      <c r="G5" s="76">
        <v>11785774</v>
      </c>
      <c r="H5" s="14" t="s">
        <v>3</v>
      </c>
      <c r="I5" s="1"/>
    </row>
    <row r="6" spans="1:9" x14ac:dyDescent="0.25">
      <c r="A6" s="1"/>
      <c r="B6" s="131" t="s">
        <v>120</v>
      </c>
      <c r="C6" s="132"/>
      <c r="D6" s="132"/>
      <c r="E6" s="132"/>
      <c r="F6" s="133"/>
      <c r="G6" s="77">
        <v>196873</v>
      </c>
      <c r="H6" s="14" t="s">
        <v>3</v>
      </c>
      <c r="I6" s="1"/>
    </row>
    <row r="7" spans="1:9" x14ac:dyDescent="0.25">
      <c r="A7" s="1"/>
      <c r="B7" s="138" t="s">
        <v>42</v>
      </c>
      <c r="C7" s="139"/>
      <c r="D7" s="139"/>
      <c r="E7" s="139"/>
      <c r="F7" s="140"/>
      <c r="G7" s="76">
        <f>SUM(G5:G6)*'Fane 15. Nøgletal'!C31</f>
        <v>239652.94</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28" t="s">
        <v>53</v>
      </c>
      <c r="C10" s="129"/>
      <c r="D10" s="129"/>
      <c r="E10" s="129"/>
      <c r="F10" s="129"/>
      <c r="G10" s="137"/>
      <c r="H10" s="130"/>
      <c r="I10" s="1"/>
    </row>
    <row r="11" spans="1:9" x14ac:dyDescent="0.25">
      <c r="A11" s="1"/>
      <c r="B11" s="138" t="s">
        <v>43</v>
      </c>
      <c r="C11" s="139"/>
      <c r="D11" s="139"/>
      <c r="E11" s="139"/>
      <c r="F11" s="140"/>
      <c r="G11" s="76">
        <f>(G5-G7)*(1+'Fane 15. Nøgletal'!C10)</f>
        <v>11748178.178550001</v>
      </c>
      <c r="H11" s="14" t="s">
        <v>3</v>
      </c>
      <c r="I11" s="1"/>
    </row>
    <row r="12" spans="1:9" ht="15" customHeight="1" x14ac:dyDescent="0.25">
      <c r="A12" s="1"/>
      <c r="B12" s="138" t="s">
        <v>121</v>
      </c>
      <c r="C12" s="139"/>
      <c r="D12" s="139"/>
      <c r="E12" s="139"/>
      <c r="F12" s="140"/>
      <c r="G12" s="77">
        <v>-174939.16132936202</v>
      </c>
      <c r="H12" s="14" t="s">
        <v>3</v>
      </c>
      <c r="I12" s="1"/>
    </row>
    <row r="13" spans="1:9" x14ac:dyDescent="0.25">
      <c r="A13" s="1"/>
      <c r="B13" s="131" t="s">
        <v>118</v>
      </c>
      <c r="C13" s="132"/>
      <c r="D13" s="132"/>
      <c r="E13" s="132"/>
      <c r="F13" s="133"/>
      <c r="G13" s="77">
        <v>861472.04415798606</v>
      </c>
      <c r="H13" s="14" t="s">
        <v>3</v>
      </c>
      <c r="I13" s="1"/>
    </row>
    <row r="14" spans="1:9" x14ac:dyDescent="0.25">
      <c r="A14" s="1"/>
      <c r="B14" s="141" t="s">
        <v>44</v>
      </c>
      <c r="C14" s="142"/>
      <c r="D14" s="142"/>
      <c r="E14" s="142"/>
      <c r="F14" s="143"/>
      <c r="G14" s="77">
        <v>66116.132500000007</v>
      </c>
      <c r="H14" s="14" t="s">
        <v>3</v>
      </c>
      <c r="I14" s="1"/>
    </row>
    <row r="15" spans="1:9" x14ac:dyDescent="0.25">
      <c r="A15" s="1"/>
      <c r="B15" s="138" t="s">
        <v>45</v>
      </c>
      <c r="C15" s="139"/>
      <c r="D15" s="139"/>
      <c r="E15" s="139"/>
      <c r="F15" s="140"/>
      <c r="G15" s="76">
        <f>SUM(G11:G14)*'Fane 15. Nøgletal'!C31</f>
        <v>250016.54387757249</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28" t="s">
        <v>54</v>
      </c>
      <c r="C18" s="129"/>
      <c r="D18" s="129"/>
      <c r="E18" s="129"/>
      <c r="F18" s="129"/>
      <c r="G18" s="137"/>
      <c r="H18" s="130"/>
      <c r="I18" s="1"/>
    </row>
    <row r="19" spans="1:9" x14ac:dyDescent="0.25">
      <c r="A19" s="1"/>
      <c r="B19" s="138" t="s">
        <v>46</v>
      </c>
      <c r="C19" s="139"/>
      <c r="D19" s="139"/>
      <c r="E19" s="139"/>
      <c r="F19" s="140"/>
      <c r="G19" s="76">
        <f>(SUM(G11:G12,G14)-(G15))*(1+'Fane 15. Nøgletal'!C10)</f>
        <v>11588652.031445323</v>
      </c>
      <c r="H19" s="14" t="s">
        <v>3</v>
      </c>
      <c r="I19" s="1"/>
    </row>
    <row r="20" spans="1:9" x14ac:dyDescent="0.25">
      <c r="A20" s="1"/>
      <c r="B20" s="141" t="s">
        <v>47</v>
      </c>
      <c r="C20" s="142"/>
      <c r="D20" s="142"/>
      <c r="E20" s="142"/>
      <c r="F20" s="143"/>
      <c r="G20" s="98">
        <f>677468.77836418-595580*1.0169^2</f>
        <v>61588.070760380127</v>
      </c>
      <c r="H20" s="14" t="s">
        <v>3</v>
      </c>
      <c r="I20" s="1"/>
    </row>
    <row r="21" spans="1:9" x14ac:dyDescent="0.25">
      <c r="A21" s="1"/>
      <c r="B21" s="138" t="s">
        <v>48</v>
      </c>
      <c r="C21" s="139"/>
      <c r="D21" s="139"/>
      <c r="E21" s="139"/>
      <c r="F21" s="140"/>
      <c r="G21" s="76">
        <f>SUM(G19:G20)*'Fane 15. Nøgletal'!C31</f>
        <v>233004.80204411407</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28" t="s">
        <v>55</v>
      </c>
      <c r="C24" s="129"/>
      <c r="D24" s="129"/>
      <c r="E24" s="129"/>
      <c r="F24" s="129"/>
      <c r="G24" s="137"/>
      <c r="H24" s="130"/>
      <c r="I24" s="1"/>
    </row>
    <row r="25" spans="1:9" x14ac:dyDescent="0.25">
      <c r="A25" s="1"/>
      <c r="B25" s="138" t="s">
        <v>49</v>
      </c>
      <c r="C25" s="139"/>
      <c r="D25" s="139"/>
      <c r="E25" s="139"/>
      <c r="F25" s="140"/>
      <c r="G25" s="76">
        <f>(G19+G20-G21)*(1+'Fane 15. Nøgletal'!C12)</f>
        <v>11642154.835574772</v>
      </c>
      <c r="H25" s="14" t="s">
        <v>3</v>
      </c>
      <c r="I25" s="1"/>
    </row>
    <row r="26" spans="1:9" x14ac:dyDescent="0.25">
      <c r="A26" s="1"/>
      <c r="B26" s="141" t="s">
        <v>50</v>
      </c>
      <c r="C26" s="142"/>
      <c r="D26" s="142"/>
      <c r="E26" s="142"/>
      <c r="F26" s="143"/>
      <c r="G26" s="77">
        <v>0</v>
      </c>
      <c r="H26" s="14" t="s">
        <v>3</v>
      </c>
      <c r="I26" s="1"/>
    </row>
    <row r="27" spans="1:9" x14ac:dyDescent="0.25">
      <c r="A27" s="1"/>
      <c r="B27" s="138" t="s">
        <v>51</v>
      </c>
      <c r="C27" s="139"/>
      <c r="D27" s="139"/>
      <c r="E27" s="139"/>
      <c r="F27" s="140"/>
      <c r="G27" s="76">
        <f>(G25+G26)*'Fane 15. Nøgletal'!C31</f>
        <v>232843.09671149545</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28" t="s">
        <v>58</v>
      </c>
      <c r="C30" s="129"/>
      <c r="D30" s="129"/>
      <c r="E30" s="129"/>
      <c r="F30" s="129"/>
      <c r="G30" s="137"/>
      <c r="H30" s="130"/>
      <c r="I30" s="1"/>
    </row>
    <row r="31" spans="1:9" x14ac:dyDescent="0.25">
      <c r="A31" s="1"/>
      <c r="B31" s="138" t="s">
        <v>59</v>
      </c>
      <c r="C31" s="139"/>
      <c r="D31" s="139"/>
      <c r="E31" s="139"/>
      <c r="F31" s="140"/>
      <c r="G31" s="76">
        <f>(G25+G26-G27)*(1+'Fane 15. Nøgletal'!C12)</f>
        <v>11634075.180118883</v>
      </c>
      <c r="H31" s="14" t="s">
        <v>3</v>
      </c>
      <c r="I31" s="1"/>
    </row>
    <row r="32" spans="1:9" x14ac:dyDescent="0.25">
      <c r="A32" s="1"/>
      <c r="B32" s="138" t="s">
        <v>137</v>
      </c>
      <c r="C32" s="139"/>
      <c r="D32" s="139"/>
      <c r="E32" s="139"/>
      <c r="F32" s="140"/>
      <c r="G32" s="76">
        <v>0</v>
      </c>
      <c r="H32" s="14" t="s">
        <v>3</v>
      </c>
      <c r="I32" s="1"/>
    </row>
    <row r="33" spans="1:9" x14ac:dyDescent="0.25">
      <c r="A33" s="1"/>
      <c r="B33" s="138" t="s">
        <v>60</v>
      </c>
      <c r="C33" s="139"/>
      <c r="D33" s="139"/>
      <c r="E33" s="139"/>
      <c r="F33" s="140"/>
      <c r="G33" s="76">
        <f>(G31+G32)*'Fane 15. Nøgletal'!C31</f>
        <v>232681.50360237766</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28" t="s">
        <v>160</v>
      </c>
      <c r="C36" s="129"/>
      <c r="D36" s="129"/>
      <c r="E36" s="129"/>
      <c r="F36" s="129"/>
      <c r="G36" s="137"/>
      <c r="H36" s="130"/>
      <c r="I36" s="1"/>
    </row>
    <row r="37" spans="1:9" x14ac:dyDescent="0.25">
      <c r="A37" s="1"/>
      <c r="B37" s="138" t="s">
        <v>79</v>
      </c>
      <c r="C37" s="139"/>
      <c r="D37" s="139"/>
      <c r="E37" s="139"/>
      <c r="F37" s="140"/>
      <c r="G37" s="76">
        <f>(G31+G32-G33)*(1+'Fane 15. Nøgletal'!C14)</f>
        <v>11439018.275649011</v>
      </c>
      <c r="H37" s="14" t="s">
        <v>3</v>
      </c>
      <c r="I37" s="1"/>
    </row>
    <row r="38" spans="1:9" x14ac:dyDescent="0.25">
      <c r="A38" s="1"/>
      <c r="B38" s="138" t="s">
        <v>164</v>
      </c>
      <c r="C38" s="139"/>
      <c r="D38" s="139"/>
      <c r="E38" s="139"/>
      <c r="F38" s="140"/>
      <c r="G38" s="76">
        <v>0</v>
      </c>
      <c r="H38" s="14" t="s">
        <v>3</v>
      </c>
      <c r="I38" s="1"/>
    </row>
    <row r="39" spans="1:9" x14ac:dyDescent="0.25">
      <c r="A39" s="1"/>
      <c r="B39" s="138" t="s">
        <v>162</v>
      </c>
      <c r="C39" s="139"/>
      <c r="D39" s="139"/>
      <c r="E39" s="139"/>
      <c r="F39" s="140"/>
      <c r="G39" s="76">
        <f>(G37+G38)*'Fane 15. Nøgletal'!C31</f>
        <v>228780.36551298024</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28" t="s">
        <v>161</v>
      </c>
      <c r="C42" s="129"/>
      <c r="D42" s="129"/>
      <c r="E42" s="129"/>
      <c r="F42" s="129"/>
      <c r="G42" s="137"/>
      <c r="H42" s="130"/>
      <c r="I42" s="1"/>
    </row>
    <row r="43" spans="1:9" x14ac:dyDescent="0.25">
      <c r="A43" s="1"/>
      <c r="B43" s="138" t="s">
        <v>228</v>
      </c>
      <c r="C43" s="139"/>
      <c r="D43" s="139"/>
      <c r="E43" s="139"/>
      <c r="F43" s="140"/>
      <c r="G43" s="76">
        <f>(G37+G38-G39)*(1+'Fane 15. Nøgletal'!C14)</f>
        <v>11247231.695239481</v>
      </c>
      <c r="H43" s="14" t="s">
        <v>3</v>
      </c>
      <c r="I43" s="1"/>
    </row>
    <row r="44" spans="1:9" x14ac:dyDescent="0.25">
      <c r="A44" s="1"/>
      <c r="B44" s="144" t="s">
        <v>230</v>
      </c>
      <c r="C44" s="145"/>
      <c r="D44" s="145"/>
      <c r="E44" s="145"/>
      <c r="F44" s="146"/>
      <c r="G44" s="80">
        <f>('Fane 2.1. Økonomisk ramme 2023'!C10+'Fane 2.1. Økonomisk ramme 2023'!C12+'Fane 2.1. Økonomisk ramme 2023'!C14)*(1+'Fane 15. Nøgletal'!C15)</f>
        <v>0</v>
      </c>
      <c r="H44" s="14" t="s">
        <v>3</v>
      </c>
      <c r="I44" s="1"/>
    </row>
    <row r="45" spans="1:9" x14ac:dyDescent="0.25">
      <c r="A45" s="1"/>
      <c r="B45" s="138" t="s">
        <v>163</v>
      </c>
      <c r="C45" s="139"/>
      <c r="D45" s="139"/>
      <c r="E45" s="139"/>
      <c r="F45" s="140"/>
      <c r="G45" s="76">
        <f>SUM(G43:G44)*'Fane 15. Nøgletal'!C31</f>
        <v>224944.6339047896</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28" t="s">
        <v>241</v>
      </c>
      <c r="C51" s="129"/>
      <c r="D51" s="129"/>
      <c r="E51" s="129"/>
      <c r="F51" s="129"/>
      <c r="G51" s="137"/>
      <c r="H51" s="130"/>
      <c r="I51" s="1"/>
    </row>
    <row r="52" spans="1:9" x14ac:dyDescent="0.25">
      <c r="A52" s="1"/>
      <c r="B52" s="138" t="s">
        <v>227</v>
      </c>
      <c r="C52" s="139"/>
      <c r="D52" s="139"/>
      <c r="E52" s="139"/>
      <c r="F52" s="140"/>
      <c r="G52" s="76">
        <f>(G43+G44-G45)*(1+'Fane 15. Nøgletal'!C15)</f>
        <v>11414680.480718207</v>
      </c>
      <c r="H52" s="14" t="s">
        <v>3</v>
      </c>
      <c r="I52" s="1"/>
    </row>
    <row r="53" spans="1:9" x14ac:dyDescent="0.25">
      <c r="A53" s="1"/>
      <c r="B53" s="138" t="s">
        <v>138</v>
      </c>
      <c r="C53" s="139"/>
      <c r="D53" s="139"/>
      <c r="E53" s="139"/>
      <c r="F53" s="140"/>
      <c r="G53" s="76">
        <f>(G52)*'Fane 15. Nøgletal'!C31</f>
        <v>228293.60961436413</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28" t="s">
        <v>150</v>
      </c>
      <c r="C56" s="129"/>
      <c r="D56" s="129"/>
      <c r="E56" s="129"/>
      <c r="F56" s="129"/>
      <c r="G56" s="137"/>
      <c r="H56" s="130"/>
      <c r="I56" s="1"/>
    </row>
    <row r="57" spans="1:9" x14ac:dyDescent="0.25">
      <c r="A57" s="1"/>
      <c r="B57" s="91" t="s">
        <v>151</v>
      </c>
      <c r="C57" s="92"/>
      <c r="D57" s="92"/>
      <c r="E57" s="92"/>
      <c r="F57" s="93"/>
      <c r="G57" s="76">
        <f>(G52-G53)*(1+'Fane 15. Nøgletal'!C15)</f>
        <v>11584622.243715139</v>
      </c>
      <c r="H57" s="14" t="s">
        <v>3</v>
      </c>
      <c r="I57" s="1"/>
    </row>
    <row r="58" spans="1:9" x14ac:dyDescent="0.25">
      <c r="A58" s="1"/>
      <c r="B58" s="91" t="s">
        <v>152</v>
      </c>
      <c r="C58" s="92"/>
      <c r="D58" s="92"/>
      <c r="E58" s="92"/>
      <c r="F58" s="93"/>
      <c r="G58" s="76">
        <f>(G57)*'Fane 15. Nøgletal'!C31</f>
        <v>231692.44487430278</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28" t="s">
        <v>193</v>
      </c>
      <c r="C61" s="129"/>
      <c r="D61" s="129"/>
      <c r="E61" s="129"/>
      <c r="F61" s="129"/>
      <c r="G61" s="137"/>
      <c r="H61" s="130"/>
      <c r="I61" s="1"/>
    </row>
    <row r="62" spans="1:9" x14ac:dyDescent="0.25">
      <c r="A62" s="1"/>
      <c r="B62" s="91" t="s">
        <v>194</v>
      </c>
      <c r="C62" s="92"/>
      <c r="D62" s="92"/>
      <c r="E62" s="92"/>
      <c r="F62" s="93"/>
      <c r="G62" s="76">
        <f>(G57-G58)*(1+'Fane 15. Nøgletal'!C15)</f>
        <v>11757094.099679571</v>
      </c>
      <c r="H62" s="14" t="s">
        <v>3</v>
      </c>
      <c r="I62" s="1"/>
    </row>
    <row r="63" spans="1:9" x14ac:dyDescent="0.25">
      <c r="A63" s="1"/>
      <c r="B63" s="91" t="s">
        <v>195</v>
      </c>
      <c r="C63" s="92"/>
      <c r="D63" s="92"/>
      <c r="E63" s="92"/>
      <c r="F63" s="93"/>
      <c r="G63" s="76">
        <f>(G62)*'Fane 15. Nøgletal'!C31</f>
        <v>235141.88199359141</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GLgU1vh8suldhC2WUnr0VlPq21REQFcsOBhCYtO+olnBc5ogZC7wTNVMbkLkVsFqZuNz6Ss6q3WRQrZkluuHvQ==" saltValue="yAHv6SVK4klw29oNSZVu+w=="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7" t="s">
        <v>110</v>
      </c>
      <c r="C1" s="147"/>
      <c r="D1" s="147"/>
      <c r="E1" s="147"/>
      <c r="F1" s="147"/>
      <c r="G1" s="147"/>
      <c r="H1" s="147"/>
      <c r="I1" s="1"/>
    </row>
    <row r="2" spans="1:9" ht="15" customHeight="1" x14ac:dyDescent="0.25">
      <c r="A2" s="1"/>
      <c r="B2" s="147"/>
      <c r="C2" s="147"/>
      <c r="D2" s="147"/>
      <c r="E2" s="147"/>
      <c r="F2" s="147"/>
      <c r="G2" s="147"/>
      <c r="H2" s="147"/>
      <c r="I2" s="1"/>
    </row>
    <row r="3" spans="1:9" ht="15" customHeight="1" x14ac:dyDescent="0.25">
      <c r="A3" s="1"/>
      <c r="B3" s="148"/>
      <c r="C3" s="148"/>
      <c r="D3" s="148"/>
      <c r="E3" s="148"/>
      <c r="F3" s="148"/>
      <c r="G3" s="148"/>
      <c r="H3" s="148"/>
      <c r="I3" s="1"/>
    </row>
    <row r="4" spans="1:9" x14ac:dyDescent="0.25">
      <c r="A4" s="1"/>
      <c r="B4" s="128" t="s">
        <v>56</v>
      </c>
      <c r="C4" s="129"/>
      <c r="D4" s="129"/>
      <c r="E4" s="129"/>
      <c r="F4" s="129"/>
      <c r="G4" s="129"/>
      <c r="H4" s="130"/>
      <c r="I4" s="1"/>
    </row>
    <row r="5" spans="1:9" x14ac:dyDescent="0.25">
      <c r="A5" s="1"/>
      <c r="B5" s="138" t="s">
        <v>61</v>
      </c>
      <c r="C5" s="139"/>
      <c r="D5" s="139"/>
      <c r="E5" s="139"/>
      <c r="F5" s="140"/>
      <c r="G5" s="76">
        <v>39413866</v>
      </c>
      <c r="H5" s="14" t="s">
        <v>3</v>
      </c>
      <c r="I5" s="1"/>
    </row>
    <row r="6" spans="1:9" x14ac:dyDescent="0.25">
      <c r="A6" s="1"/>
      <c r="B6" s="138" t="s">
        <v>57</v>
      </c>
      <c r="C6" s="139"/>
      <c r="D6" s="139"/>
      <c r="E6" s="139"/>
      <c r="F6" s="140"/>
      <c r="G6" s="76">
        <f>G5*'Fane 15. Nøgletal'!C20</f>
        <v>358666.18060000002</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28" t="s">
        <v>62</v>
      </c>
      <c r="C9" s="129"/>
      <c r="D9" s="129"/>
      <c r="E9" s="129"/>
      <c r="F9" s="129"/>
      <c r="G9" s="137"/>
      <c r="H9" s="130"/>
      <c r="I9" s="1"/>
    </row>
    <row r="10" spans="1:9" x14ac:dyDescent="0.25">
      <c r="A10" s="1"/>
      <c r="B10" s="138" t="s">
        <v>63</v>
      </c>
      <c r="C10" s="139"/>
      <c r="D10" s="139"/>
      <c r="E10" s="139"/>
      <c r="F10" s="140"/>
      <c r="G10" s="76">
        <f>(G5-G6)*(1+'Fane 15. Nøgletal'!C10)</f>
        <v>39738665.816239499</v>
      </c>
      <c r="H10" s="14" t="s">
        <v>3</v>
      </c>
      <c r="I10" s="1"/>
    </row>
    <row r="11" spans="1:9" x14ac:dyDescent="0.25">
      <c r="A11" s="1"/>
      <c r="B11" s="138" t="s">
        <v>122</v>
      </c>
      <c r="C11" s="139"/>
      <c r="D11" s="139"/>
      <c r="E11" s="139"/>
      <c r="F11" s="140"/>
      <c r="G11" s="76">
        <v>600711.07275823352</v>
      </c>
      <c r="H11" s="14" t="s">
        <v>3</v>
      </c>
      <c r="I11" s="1"/>
    </row>
    <row r="12" spans="1:9" x14ac:dyDescent="0.25">
      <c r="A12" s="1"/>
      <c r="B12" s="141" t="s">
        <v>64</v>
      </c>
      <c r="C12" s="142"/>
      <c r="D12" s="142"/>
      <c r="E12" s="142"/>
      <c r="F12" s="143"/>
      <c r="G12" s="77">
        <v>0</v>
      </c>
      <c r="H12" s="14" t="s">
        <v>3</v>
      </c>
      <c r="I12" s="1"/>
    </row>
    <row r="13" spans="1:9" x14ac:dyDescent="0.25">
      <c r="A13" s="1"/>
      <c r="B13" s="138" t="s">
        <v>65</v>
      </c>
      <c r="C13" s="139"/>
      <c r="D13" s="139"/>
      <c r="E13" s="139"/>
      <c r="F13" s="140"/>
      <c r="G13" s="76">
        <f>SUM(G10:G12)*'Fane 15. Nøgletal'!C21</f>
        <v>714006.97093525995</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28" t="s">
        <v>66</v>
      </c>
      <c r="C16" s="129"/>
      <c r="D16" s="129"/>
      <c r="E16" s="129"/>
      <c r="F16" s="129"/>
      <c r="G16" s="137"/>
      <c r="H16" s="130"/>
      <c r="I16" s="1"/>
    </row>
    <row r="17" spans="1:9" x14ac:dyDescent="0.25">
      <c r="A17" s="1"/>
      <c r="B17" s="138" t="s">
        <v>67</v>
      </c>
      <c r="C17" s="139"/>
      <c r="D17" s="139"/>
      <c r="E17" s="139"/>
      <c r="F17" s="140"/>
      <c r="G17" s="76">
        <f>(SUM(G10:G12)-G13)*(1+'Fane 15. Nøgletal'!C10)</f>
        <v>40318813.891628563</v>
      </c>
      <c r="H17" s="14" t="s">
        <v>3</v>
      </c>
      <c r="I17" s="1"/>
    </row>
    <row r="18" spans="1:9" x14ac:dyDescent="0.25">
      <c r="A18" s="1"/>
      <c r="B18" s="141" t="s">
        <v>68</v>
      </c>
      <c r="C18" s="142"/>
      <c r="D18" s="142"/>
      <c r="E18" s="142"/>
      <c r="F18" s="143"/>
      <c r="G18" s="76">
        <v>0</v>
      </c>
      <c r="H18" s="14" t="s">
        <v>3</v>
      </c>
      <c r="I18" s="1"/>
    </row>
    <row r="19" spans="1:9" x14ac:dyDescent="0.25">
      <c r="A19" s="1"/>
      <c r="B19" s="138" t="s">
        <v>69</v>
      </c>
      <c r="C19" s="139"/>
      <c r="D19" s="139"/>
      <c r="E19" s="139"/>
      <c r="F19" s="140"/>
      <c r="G19" s="76">
        <f>G17*'Fane 15. Nøgletal'!C21+G18*'Fane 15. Nøgletal'!C22</f>
        <v>713643.00588182558</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28" t="s">
        <v>70</v>
      </c>
      <c r="C22" s="129"/>
      <c r="D22" s="129"/>
      <c r="E22" s="129"/>
      <c r="F22" s="129"/>
      <c r="G22" s="137"/>
      <c r="H22" s="130"/>
      <c r="I22" s="1"/>
    </row>
    <row r="23" spans="1:9" x14ac:dyDescent="0.25">
      <c r="A23" s="1"/>
      <c r="B23" s="138" t="s">
        <v>71</v>
      </c>
      <c r="C23" s="139"/>
      <c r="D23" s="139"/>
      <c r="E23" s="139"/>
      <c r="F23" s="140"/>
      <c r="G23" s="76">
        <f>(G17+G18-G19)*(1+'Fane 15. Nøgletal'!C12)</f>
        <v>40385392.752195954</v>
      </c>
      <c r="H23" s="14" t="s">
        <v>3</v>
      </c>
      <c r="I23" s="1"/>
    </row>
    <row r="24" spans="1:9" x14ac:dyDescent="0.25">
      <c r="A24" s="1"/>
      <c r="B24" s="141" t="s">
        <v>72</v>
      </c>
      <c r="C24" s="142"/>
      <c r="D24" s="142"/>
      <c r="E24" s="142"/>
      <c r="F24" s="143"/>
      <c r="G24" s="76">
        <v>0</v>
      </c>
      <c r="H24" s="14" t="s">
        <v>3</v>
      </c>
      <c r="I24" s="1"/>
    </row>
    <row r="25" spans="1:9" x14ac:dyDescent="0.25">
      <c r="A25" s="1"/>
      <c r="B25" s="138" t="s">
        <v>73</v>
      </c>
      <c r="C25" s="139"/>
      <c r="D25" s="139"/>
      <c r="E25" s="139"/>
      <c r="F25" s="140"/>
      <c r="G25" s="76">
        <f>(G23+G24)*'Fane 15. Nøgletal'!C23</f>
        <v>1146945.1541623652</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28" t="s">
        <v>74</v>
      </c>
      <c r="C28" s="129"/>
      <c r="D28" s="129"/>
      <c r="E28" s="129"/>
      <c r="F28" s="129"/>
      <c r="G28" s="137"/>
      <c r="H28" s="130"/>
      <c r="I28" s="1"/>
    </row>
    <row r="29" spans="1:9" x14ac:dyDescent="0.25">
      <c r="A29" s="1"/>
      <c r="B29" s="138" t="s">
        <v>75</v>
      </c>
      <c r="C29" s="139"/>
      <c r="D29" s="139"/>
      <c r="E29" s="139"/>
      <c r="F29" s="140"/>
      <c r="G29" s="76">
        <f>(G23+G24-G25)*(1+'Fane 15. Nøgletal'!C12)</f>
        <v>40011445.015714854</v>
      </c>
      <c r="H29" s="14" t="s">
        <v>3</v>
      </c>
      <c r="I29" s="1"/>
    </row>
    <row r="30" spans="1:9" x14ac:dyDescent="0.25">
      <c r="A30" s="1"/>
      <c r="B30" s="138" t="s">
        <v>139</v>
      </c>
      <c r="C30" s="139"/>
      <c r="D30" s="139"/>
      <c r="E30" s="139"/>
      <c r="F30" s="140"/>
      <c r="G30" s="76">
        <v>0</v>
      </c>
      <c r="H30" s="14" t="s">
        <v>3</v>
      </c>
      <c r="I30" s="1"/>
    </row>
    <row r="31" spans="1:9" x14ac:dyDescent="0.25">
      <c r="A31" s="1"/>
      <c r="B31" s="138" t="s">
        <v>76</v>
      </c>
      <c r="C31" s="139"/>
      <c r="D31" s="139"/>
      <c r="E31" s="139"/>
      <c r="F31" s="140"/>
      <c r="G31" s="76">
        <f>G29*'Fane 15. Nøgletal'!C23+G30*'Fane 15. Nøgletal'!C24</f>
        <v>1136325.0384463018</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28" t="s">
        <v>165</v>
      </c>
      <c r="C34" s="129"/>
      <c r="D34" s="129"/>
      <c r="E34" s="129"/>
      <c r="F34" s="129"/>
      <c r="G34" s="137"/>
      <c r="H34" s="130"/>
      <c r="I34" s="1"/>
    </row>
    <row r="35" spans="1:9" x14ac:dyDescent="0.25">
      <c r="A35" s="1"/>
      <c r="B35" s="138" t="s">
        <v>78</v>
      </c>
      <c r="C35" s="139"/>
      <c r="D35" s="139"/>
      <c r="E35" s="139"/>
      <c r="F35" s="140"/>
      <c r="G35" s="76">
        <f>(G29+G30-G31)*(1+'Fane 15. Nøgletal'!C14)</f>
        <v>39003407.873193547</v>
      </c>
      <c r="H35" s="14" t="s">
        <v>3</v>
      </c>
      <c r="I35" s="1"/>
    </row>
    <row r="36" spans="1:9" x14ac:dyDescent="0.25">
      <c r="A36" s="1"/>
      <c r="B36" s="138" t="s">
        <v>167</v>
      </c>
      <c r="C36" s="139"/>
      <c r="D36" s="139"/>
      <c r="E36" s="139"/>
      <c r="F36" s="140"/>
      <c r="G36" s="76">
        <v>0</v>
      </c>
      <c r="H36" s="14" t="s">
        <v>3</v>
      </c>
      <c r="I36" s="1"/>
    </row>
    <row r="37" spans="1:9" x14ac:dyDescent="0.25">
      <c r="A37" s="1"/>
      <c r="B37" s="138" t="s">
        <v>166</v>
      </c>
      <c r="C37" s="139"/>
      <c r="D37" s="139"/>
      <c r="E37" s="139"/>
      <c r="F37" s="140"/>
      <c r="G37" s="76">
        <f>(G35+G36)*'Fane 15. Nøgletal'!C25</f>
        <v>577250.43652326451</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28" t="s">
        <v>221</v>
      </c>
      <c r="C40" s="129"/>
      <c r="D40" s="129"/>
      <c r="E40" s="129"/>
      <c r="F40" s="129"/>
      <c r="G40" s="137"/>
      <c r="H40" s="130"/>
      <c r="I40" s="1"/>
    </row>
    <row r="41" spans="1:9" x14ac:dyDescent="0.25">
      <c r="A41" s="1"/>
      <c r="B41" s="138" t="s">
        <v>77</v>
      </c>
      <c r="C41" s="139"/>
      <c r="D41" s="139"/>
      <c r="E41" s="139"/>
      <c r="F41" s="140"/>
      <c r="G41" s="76">
        <f>(G35+G36-G37)*(1+'Fane 15. Nøgletal'!C14)</f>
        <v>38552963.756211296</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0</v>
      </c>
      <c r="H42" s="14" t="s">
        <v>3</v>
      </c>
      <c r="I42" s="1"/>
    </row>
    <row r="43" spans="1:9" x14ac:dyDescent="0.25">
      <c r="A43" s="1"/>
      <c r="B43" s="138" t="s">
        <v>168</v>
      </c>
      <c r="C43" s="139"/>
      <c r="D43" s="139"/>
      <c r="E43" s="139"/>
      <c r="F43" s="140"/>
      <c r="G43" s="76">
        <f>(G41)*'Fane 15. Nøgletal'!C25+G42*'Fane 15. Nøgletal'!C26</f>
        <v>570583.86359192722</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28" t="s">
        <v>242</v>
      </c>
      <c r="C52" s="129"/>
      <c r="D52" s="129"/>
      <c r="E52" s="129"/>
      <c r="F52" s="129"/>
      <c r="G52" s="137"/>
      <c r="H52" s="130"/>
      <c r="I52" s="1"/>
    </row>
    <row r="53" spans="1:9" x14ac:dyDescent="0.25">
      <c r="A53" s="1"/>
      <c r="B53" s="138" t="s">
        <v>140</v>
      </c>
      <c r="C53" s="139"/>
      <c r="D53" s="139"/>
      <c r="E53" s="139"/>
      <c r="F53" s="140"/>
      <c r="G53" s="76">
        <f>(G41+G42-G43)*(1+'Fane 15. Nøgletal'!C15)</f>
        <v>39334552.616796628</v>
      </c>
      <c r="H53" s="14" t="s">
        <v>3</v>
      </c>
      <c r="I53" s="1"/>
    </row>
    <row r="54" spans="1:9" x14ac:dyDescent="0.25">
      <c r="A54" s="1"/>
      <c r="B54" s="138" t="s">
        <v>141</v>
      </c>
      <c r="C54" s="139"/>
      <c r="D54" s="139"/>
      <c r="E54" s="139"/>
      <c r="F54" s="140"/>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28" t="s">
        <v>153</v>
      </c>
      <c r="C57" s="129"/>
      <c r="D57" s="129"/>
      <c r="E57" s="129"/>
      <c r="F57" s="129"/>
      <c r="G57" s="137"/>
      <c r="H57" s="130"/>
      <c r="I57" s="1"/>
    </row>
    <row r="58" spans="1:9" x14ac:dyDescent="0.25">
      <c r="A58" s="1"/>
      <c r="B58" s="138" t="s">
        <v>173</v>
      </c>
      <c r="C58" s="139"/>
      <c r="D58" s="139"/>
      <c r="E58" s="139"/>
      <c r="F58" s="140"/>
      <c r="G58" s="76">
        <f>(G53-G54)*(1+'Fane 15. Nøgletal'!C15)</f>
        <v>40734862.689954594</v>
      </c>
      <c r="H58" s="14" t="s">
        <v>3</v>
      </c>
      <c r="I58" s="1"/>
    </row>
    <row r="59" spans="1:9" x14ac:dyDescent="0.25">
      <c r="A59" s="1"/>
      <c r="B59" s="138" t="s">
        <v>174</v>
      </c>
      <c r="C59" s="139"/>
      <c r="D59" s="139"/>
      <c r="E59" s="139"/>
      <c r="F59" s="140"/>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28" t="s">
        <v>196</v>
      </c>
      <c r="C62" s="129"/>
      <c r="D62" s="129"/>
      <c r="E62" s="129"/>
      <c r="F62" s="129"/>
      <c r="G62" s="137"/>
      <c r="H62" s="130"/>
      <c r="I62" s="1"/>
    </row>
    <row r="63" spans="1:9" x14ac:dyDescent="0.25">
      <c r="A63" s="1"/>
      <c r="B63" s="138" t="s">
        <v>197</v>
      </c>
      <c r="C63" s="139"/>
      <c r="D63" s="139"/>
      <c r="E63" s="139"/>
      <c r="F63" s="140"/>
      <c r="G63" s="76">
        <f>(G58-G59)*(1+'Fane 15. Nøgletal'!C15)</f>
        <v>42185023.801716983</v>
      </c>
      <c r="H63" s="14" t="s">
        <v>3</v>
      </c>
      <c r="I63" s="1"/>
    </row>
    <row r="64" spans="1:9" x14ac:dyDescent="0.25">
      <c r="A64" s="1"/>
      <c r="B64" s="138" t="s">
        <v>198</v>
      </c>
      <c r="C64" s="139"/>
      <c r="D64" s="139"/>
      <c r="E64" s="139"/>
      <c r="F64" s="140"/>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jPMzFuaoqAYcPixMkOu6/1uuRN02ORhlUZ2XDu+IfYzGl3csq0z1iq0VHei937y+8MWJ5gqznZBXTqWw+iOSg==" saltValue="CpNmfVzd6csOhnlU6i4h/A=="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0" t="s">
        <v>88</v>
      </c>
      <c r="C3" s="120"/>
      <c r="D3" s="120"/>
      <c r="E3" s="120"/>
      <c r="F3" s="120"/>
      <c r="G3" s="120"/>
      <c r="H3" s="1"/>
    </row>
    <row r="4" spans="1:8" ht="15" customHeight="1" x14ac:dyDescent="0.25">
      <c r="A4" s="1"/>
      <c r="B4" s="120"/>
      <c r="C4" s="120"/>
      <c r="D4" s="120"/>
      <c r="E4" s="120"/>
      <c r="F4" s="120"/>
      <c r="G4" s="12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50" t="s">
        <v>10</v>
      </c>
      <c r="C8" s="150"/>
      <c r="D8" s="150"/>
      <c r="E8" s="150"/>
      <c r="F8" s="150"/>
      <c r="G8" s="150"/>
      <c r="H8" s="1"/>
    </row>
    <row r="9" spans="1:8" x14ac:dyDescent="0.25">
      <c r="A9" s="1"/>
      <c r="B9" s="138" t="s">
        <v>154</v>
      </c>
      <c r="C9" s="139"/>
      <c r="D9" s="139"/>
      <c r="E9" s="139"/>
      <c r="F9" s="140"/>
      <c r="G9" s="35">
        <v>0</v>
      </c>
      <c r="H9" s="1"/>
    </row>
    <row r="10" spans="1:8" x14ac:dyDescent="0.25">
      <c r="A10" s="1"/>
      <c r="B10" s="151"/>
      <c r="C10" s="151"/>
      <c r="D10" s="151"/>
      <c r="E10" s="151"/>
      <c r="F10" s="151"/>
      <c r="G10" s="151"/>
      <c r="H10" s="1"/>
    </row>
    <row r="11" spans="1:8" ht="29.25" customHeight="1" x14ac:dyDescent="0.25">
      <c r="A11" s="1"/>
      <c r="B11" s="149" t="s">
        <v>236</v>
      </c>
      <c r="C11" s="149"/>
      <c r="D11" s="149"/>
      <c r="E11" s="149"/>
      <c r="F11" s="149"/>
      <c r="G11" s="149"/>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07tnBfRAN8zAIzl9ciuCNllpzGW/esH96aCkbHq0+xRIlvLR1u12JHIEN9ecdKYRZoGFTDWJtFC5/djr3QQAKw==" saltValue="1PWEcSutXz/4GDm64Bam1Q==" spinCount="100000" sheet="1" objects="1" scenarios="1"/>
  <mergeCells count="5">
    <mergeCell ref="B11:G11"/>
    <mergeCell ref="B3:G4"/>
    <mergeCell ref="B8:G8"/>
    <mergeCell ref="B9:F9"/>
    <mergeCell ref="B10:G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2022-12-01T08:33:56Z</dcterms:modified>
</cp:coreProperties>
</file>