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Denne_projektmappe" defaultThemeVersion="124226"/>
  <mc:AlternateContent xmlns:mc="http://schemas.openxmlformats.org/markup-compatibility/2006">
    <mc:Choice Requires="x15">
      <x15ac:absPath xmlns:x15ac="http://schemas.microsoft.com/office/spreadsheetml/2010/11/ac" url="E:\VAND\Sagsbehandling\Drikkevand\FORS Vand Roskilde AS (V155)\ØR2025\"/>
    </mc:Choice>
  </mc:AlternateContent>
  <xr:revisionPtr revIDLastSave="0" documentId="13_ncr:1_{E767E7DE-C6E9-4C34-8462-09FF09F09337}"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2025'!$B$8:$D$33</definedName>
    <definedName name="Fane21total">'Fane 2.1. Økonomisk ramme 2025'!$C$33</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ØR2024'!$C$34</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2025'!$B$8:$D$34</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ØR2024'!$B$8:$D$34</definedName>
    <definedName name="ØR24total">'Fane 3. Omkostninger i ØR2024'!$C$34</definedName>
    <definedName name="ØR25total">'Fane 2.1. Økonomisk ramme 2025'!$C$33</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24" i="41" l="1"/>
  <c r="C10" i="36" l="1"/>
  <c r="C10" i="30"/>
  <c r="C9" i="2" l="1"/>
  <c r="F10" i="11" l="1"/>
  <c r="F11" i="11" s="1"/>
  <c r="C11" i="29"/>
  <c r="C12" i="29" l="1"/>
  <c r="E11" i="29" l="1"/>
  <c r="C20" i="43" l="1"/>
  <c r="E12" i="29" l="1"/>
  <c r="C16" i="41" l="1"/>
  <c r="C15" i="41"/>
  <c r="C17" i="41" l="1"/>
  <c r="C28" i="41" s="1"/>
  <c r="C18" i="23" l="1"/>
  <c r="C20" i="15"/>
  <c r="C32" i="2"/>
  <c r="E13" i="39" l="1"/>
  <c r="E14" i="39" s="1"/>
  <c r="C13" i="39"/>
  <c r="C14" i="39" s="1"/>
  <c r="J11" i="11" l="1"/>
  <c r="E10" i="37" s="1"/>
  <c r="H11" i="11"/>
  <c r="C10" i="37" s="1"/>
  <c r="C30" i="41" l="1"/>
  <c r="C18" i="15" l="1"/>
  <c r="C30" i="2"/>
  <c r="C18" i="40" l="1"/>
  <c r="C19" i="19" l="1"/>
  <c r="C20" i="19" s="1"/>
  <c r="C16" i="43" l="1"/>
  <c r="C16" i="23"/>
  <c r="C16" i="15"/>
  <c r="C15" i="2"/>
  <c r="E17" i="37"/>
  <c r="E18" i="37" s="1"/>
  <c r="C17" i="37"/>
  <c r="C18" i="37" s="1"/>
  <c r="C24" i="2" l="1"/>
  <c r="C26" i="2" s="1"/>
  <c r="C11" i="2" l="1"/>
  <c r="E11" i="21"/>
  <c r="E12" i="21" s="1"/>
  <c r="C11" i="21"/>
  <c r="C12" i="21" s="1"/>
  <c r="C12" i="2" l="1"/>
  <c r="C13" i="2"/>
  <c r="C16" i="36" s="1"/>
  <c r="C25" i="2" l="1"/>
  <c r="C27" i="2" s="1"/>
  <c r="C28" i="2" l="1"/>
  <c r="C10" i="2" l="1"/>
  <c r="C14" i="2"/>
  <c r="C16" i="30" l="1"/>
  <c r="C22" i="2"/>
  <c r="C11" i="30" l="1"/>
  <c r="C15" i="30" s="1"/>
  <c r="C17" i="30" l="1"/>
  <c r="C18" i="2" s="1"/>
  <c r="C16" i="2" l="1"/>
  <c r="C21" i="30"/>
  <c r="C11" i="36"/>
  <c r="C15" i="36" s="1"/>
  <c r="C17" i="2" l="1"/>
  <c r="C17" i="36"/>
  <c r="C19" i="2" s="1"/>
  <c r="C20" i="2" l="1"/>
  <c r="C33"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<sst xmlns="http://schemas.openxmlformats.org/spreadsheetml/2006/main" count="450" uniqueCount="206">
  <si>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</si>
  <si>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</si>
  <si>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</si>
  <si>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</si>
  <si>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</si>
  <si>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</si>
  <si>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</si>
  <si>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</si>
  <si>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</si>
  <si>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</si>
  <si>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</si>
  <si>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</si>
  <si>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</si>
  <si>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</si>
  <si>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</si>
  <si>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</si>
  <si>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</si>
  <si>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</si>
  <si>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</si>
  <si>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</si>
  <si>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</si>
  <si>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</si>
  <si>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</si>
  <si>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</si>
  <si>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</si>
  <si>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</si>
  <si>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</si>
  <si>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</si>
  <si>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</si>
  <si>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</si>
  <si>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</si>
  <si>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</si>
  <si>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</si>
  <si>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</si>
  <si>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</si>
  <si>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</si>
  <si>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</si>
  <si>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</si>
  <si>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</si>
  <si>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</si>
  <si>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</si>
  <si>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</si>
  <si>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</si>
  <si>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</si>
  <si>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</si>
  <si>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</si>
  <si>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</si>
  <si>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</si>
  <si>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</si>
  <si>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</si>
  <si>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</si>
  <si>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</si>
  <si>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</si>
  <si>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</si>
  <si>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</si>
  <si>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</si>
  <si>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</si>
  <si>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</si>
  <si>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</si>
  <si>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</si>
  <si>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</si>
  <si>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</si>
  <si>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</si>
  <si>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</si>
  <si>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</si>
  <si>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</si>
  <si>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</si>
  <si>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</si>
  <si>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</si>
  <si>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</si>
  <si>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</si>
  <si>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</si>
  <si>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</si>
  <si>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</si>
  <si>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</si>
  <si>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</si>
  <si>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</si>
  <si>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</si>
  <si>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</si>
  <si>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</si>
  <si>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</si>
  <si>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</si>
  <si>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</si>
  <si>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</si>
  <si>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</si>
  <si>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</si>
  <si>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</si>
  <si>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</si>
  <si>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</si>
  <si>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</si>
  <si>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</si>
  <si>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</si>
  <si>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</si>
  <si>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</si>
  <si>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</si>
  <si>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</si>
  <si>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</si>
  <si>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</si>
  <si>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</si>
  <si>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</si>
  <si>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</si>
  <si>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</si>
  <si>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</si>
  <si>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</si>
  <si>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</si>
  <si>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</si>
  <si>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</si>
  <si>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</si>
  <si>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</si>
  <si>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</si>
  <si>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</si>
  <si>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</si>
  <si>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</si>
  <si>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</si>
  <si>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</si>
  <si>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</si>
  <si>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</si>
  <si>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</si>
  <si>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</si>
  <si>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</si>
  <si>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</si>
  <si>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</si>
  <si>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</si>
  <si>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</si>
  <si>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</si>
  <si>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</si>
  <si>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</si>
  <si>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</si>
  <si>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</si>
  <si>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</si>
  <si>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</si>
  <si>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</si>
  <si>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</si>
  <si>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</si>
  <si>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</si>
  <si>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</si>
  <si>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</si>
  <si>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</si>
  <si>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</si>
  <si>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</si>
  <si>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</si>
  <si>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</si>
  <si>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</si>
  <si>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</si>
  <si>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</si>
  <si>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</si>
  <si>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</si>
  <si>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</si>
  <si>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</si>
  <si>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</si>
  <si>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</si>
  <si>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</si>
  <si>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</si>
  <si>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</si>
  <si>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</si>
  <si>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</si>
  <si>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</si>
  <si>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</si>
  <si>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</si>
  <si>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</si>
  <si>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</si>
  <si>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</si>
  <si>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</si>
  <si>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</si>
  <si>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</si>
  <si>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</si>
  <si>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</si>
  <si>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</si>
  <si>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</si>
  <si>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</si>
  <si>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</si>
  <si>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</si>
  <si>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</si>
  <si>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</si>
  <si>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</si>
  <si>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</si>
  <si>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</si>
  <si>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</si>
  <si>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</si>
  <si>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</si>
  <si>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</si>
  <si>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</si>
  <si>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</si>
  <si>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</si>
  <si>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</si>
  <si>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</si>
  <si>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</si>
  <si>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</si>
  <si>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</si>
  <si>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</si>
  <si>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</si>
  <si>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</si>
  <si>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</si>
  <si>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</si>
  <si>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ØR2025-2026</t>
  </si>
  <si>
    <t>Generelt effektiviseringskrav til brug for anlægsomkostninger i ØR2025-2026</t>
  </si>
  <si>
    <t>Til økonomisk ramme for 2025-2026</t>
  </si>
  <si>
    <t>Afgift for ledningsført vand</t>
  </si>
  <si>
    <t>Afgift til Forsyningssekretariatet</t>
  </si>
  <si>
    <t>Ejendomsskatter</t>
  </si>
  <si>
    <t>Erstatninger</t>
  </si>
  <si>
    <t xml:space="preserve">Festivalområdet – Milen, vandforsyning  </t>
  </si>
  <si>
    <t>FVR §11 Stk.1 FSR-000115 -Opgradering-Udskiftning af antenner og målere</t>
  </si>
  <si>
    <t>FVR §11 Stk. 5 Overtagelse af vandforsyning ØR2025</t>
  </si>
  <si>
    <t>FVR- Byggemodninger 2023</t>
  </si>
  <si>
    <t>FVR- BNBO omkostninger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</si>
</sst>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quotePrefix="1"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165" fontId="8" fillId="4" borderId="1" xfId="1" applyNumberFormat="1" applyFont="1" applyFill="1" applyBorder="1" applyProtection="1"/>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2"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79" t="s">
        <v>4</v>
      </c>
      <c r="D6" s="79"/>
      <c r="E6" s="79"/>
      <c r="F6" s="79"/>
      <c r="G6" s="1"/>
    </row>
    <row r="7" spans="1:7" ht="15" customHeight="1" x14ac:dyDescent="0.25">
      <c r="A7" s="1"/>
      <c r="B7" s="3"/>
      <c r="C7" s="79"/>
      <c r="D7" s="79"/>
      <c r="E7" s="79"/>
      <c r="F7" s="79"/>
      <c r="G7" s="1"/>
    </row>
    <row r="8" spans="1:7" ht="15.75" x14ac:dyDescent="0.25">
      <c r="A8" s="1"/>
      <c r="B8" s="4"/>
      <c r="C8" s="84" t="s">
        <v>196</v>
      </c>
      <c r="D8" s="84"/>
      <c r="E8" s="84"/>
      <c r="F8" s="84"/>
      <c r="G8" s="1"/>
    </row>
    <row r="9" spans="1:7" x14ac:dyDescent="0.25">
      <c r="A9" s="1"/>
      <c r="B9" s="5"/>
      <c r="C9" s="5"/>
      <c r="D9" s="5"/>
      <c r="E9" s="5"/>
      <c r="F9" s="5"/>
      <c r="G9" s="1"/>
    </row>
    <row r="10" spans="1:7" x14ac:dyDescent="0.25">
      <c r="A10" s="1"/>
      <c r="B10" s="5"/>
      <c r="C10" s="5"/>
      <c r="D10" s="5"/>
      <c r="E10" s="5"/>
      <c r="F10" s="5"/>
      <c r="G10" s="1"/>
    </row>
    <row r="11" spans="1:7" x14ac:dyDescent="0.25">
      <c r="A11" s="1"/>
      <c r="B11" s="5"/>
      <c r="C11" s="83" t="s">
        <v>5</v>
      </c>
      <c r="D11" s="83"/>
      <c r="E11" s="83"/>
      <c r="F11" s="83"/>
      <c r="G11" s="1"/>
    </row>
    <row r="12" spans="1:7" x14ac:dyDescent="0.25">
      <c r="A12" s="1"/>
      <c r="B12" s="1"/>
      <c r="C12" s="1"/>
      <c r="D12" s="1"/>
      <c r="E12" s="1"/>
      <c r="F12" s="1"/>
      <c r="G12" s="1"/>
    </row>
    <row r="13" spans="1:7" x14ac:dyDescent="0.25">
      <c r="A13" s="1"/>
      <c r="B13" s="6" t="s">
        <v>6</v>
      </c>
      <c r="C13" s="76" t="s">
        <v>124</v>
      </c>
      <c r="D13" s="77"/>
      <c r="E13" s="77"/>
      <c r="F13" s="78"/>
      <c r="G13" s="1"/>
    </row>
    <row r="14" spans="1:7" x14ac:dyDescent="0.25">
      <c r="A14" s="1"/>
      <c r="B14" s="6" t="s">
        <v>14</v>
      </c>
      <c r="C14" s="76" t="s">
        <v>159</v>
      </c>
      <c r="D14" s="77"/>
      <c r="E14" s="77"/>
      <c r="F14" s="78"/>
      <c r="G14" s="1"/>
    </row>
    <row r="15" spans="1:7" x14ac:dyDescent="0.25">
      <c r="A15" s="1"/>
      <c r="B15" s="6" t="s">
        <v>29</v>
      </c>
      <c r="C15" s="76" t="s">
        <v>107</v>
      </c>
      <c r="D15" s="77"/>
      <c r="E15" s="77"/>
      <c r="F15" s="78"/>
      <c r="G15" s="1"/>
    </row>
    <row r="16" spans="1:7" x14ac:dyDescent="0.25">
      <c r="A16" s="1"/>
      <c r="B16" s="6" t="s">
        <v>30</v>
      </c>
      <c r="C16" s="76" t="s">
        <v>125</v>
      </c>
      <c r="D16" s="77"/>
      <c r="E16" s="77"/>
      <c r="F16" s="78"/>
      <c r="G16" s="1"/>
    </row>
    <row r="17" spans="1:7" x14ac:dyDescent="0.25">
      <c r="A17" s="1"/>
      <c r="B17" s="6" t="s">
        <v>57</v>
      </c>
      <c r="C17" s="76" t="s">
        <v>126</v>
      </c>
      <c r="D17" s="77"/>
      <c r="E17" s="77"/>
      <c r="F17" s="78"/>
      <c r="G17" s="1"/>
    </row>
    <row r="18" spans="1:7" x14ac:dyDescent="0.25">
      <c r="A18" s="1"/>
      <c r="B18" s="6" t="s">
        <v>49</v>
      </c>
      <c r="C18" s="85" t="s">
        <v>42</v>
      </c>
      <c r="D18" s="86"/>
      <c r="E18" s="86"/>
      <c r="F18" s="87"/>
      <c r="G18" s="1"/>
    </row>
    <row r="19" spans="1:7" x14ac:dyDescent="0.25">
      <c r="A19" s="1"/>
      <c r="B19" s="6" t="s">
        <v>50</v>
      </c>
      <c r="C19" s="85" t="s">
        <v>43</v>
      </c>
      <c r="D19" s="86"/>
      <c r="E19" s="86"/>
      <c r="F19" s="87"/>
      <c r="G19" s="1"/>
    </row>
    <row r="20" spans="1:7" x14ac:dyDescent="0.25">
      <c r="A20" s="1"/>
      <c r="B20" s="6" t="s">
        <v>7</v>
      </c>
      <c r="C20" s="85" t="s">
        <v>9</v>
      </c>
      <c r="D20" s="86"/>
      <c r="E20" s="86"/>
      <c r="F20" s="87"/>
      <c r="G20" s="1"/>
    </row>
    <row r="21" spans="1:7" x14ac:dyDescent="0.25">
      <c r="A21" s="1"/>
      <c r="B21" s="6" t="s">
        <v>51</v>
      </c>
      <c r="C21" s="91" t="s">
        <v>11</v>
      </c>
      <c r="D21" s="92"/>
      <c r="E21" s="92"/>
      <c r="F21" s="93"/>
      <c r="G21" s="1"/>
    </row>
    <row r="22" spans="1:7" x14ac:dyDescent="0.25">
      <c r="A22" s="1"/>
      <c r="B22" s="6" t="s">
        <v>37</v>
      </c>
      <c r="C22" s="80" t="s">
        <v>127</v>
      </c>
      <c r="D22" s="81"/>
      <c r="E22" s="81"/>
      <c r="F22" s="82"/>
      <c r="G22" s="1"/>
    </row>
    <row r="23" spans="1:7" x14ac:dyDescent="0.25">
      <c r="A23" s="1"/>
      <c r="B23" s="6" t="s">
        <v>8</v>
      </c>
      <c r="C23" s="80" t="s">
        <v>89</v>
      </c>
      <c r="D23" s="81"/>
      <c r="E23" s="81"/>
      <c r="F23" s="82"/>
      <c r="G23" s="1"/>
    </row>
    <row r="24" spans="1:7" x14ac:dyDescent="0.25">
      <c r="A24" s="1"/>
      <c r="B24" s="6" t="s">
        <v>85</v>
      </c>
      <c r="C24" s="80" t="s">
        <v>78</v>
      </c>
      <c r="D24" s="81"/>
      <c r="E24" s="81"/>
      <c r="F24" s="82"/>
      <c r="G24" s="1"/>
    </row>
    <row r="25" spans="1:7" x14ac:dyDescent="0.25">
      <c r="A25" s="1"/>
      <c r="B25" s="6" t="s">
        <v>86</v>
      </c>
      <c r="C25" s="80" t="s">
        <v>38</v>
      </c>
      <c r="D25" s="81"/>
      <c r="E25" s="81"/>
      <c r="F25" s="82"/>
      <c r="G25" s="1"/>
    </row>
    <row r="26" spans="1:7" x14ac:dyDescent="0.25">
      <c r="A26" s="1"/>
      <c r="B26" s="6" t="s">
        <v>87</v>
      </c>
      <c r="C26" s="80" t="s">
        <v>39</v>
      </c>
      <c r="D26" s="81"/>
      <c r="E26" s="81"/>
      <c r="F26" s="82"/>
      <c r="G26" s="1"/>
    </row>
    <row r="27" spans="1:7" x14ac:dyDescent="0.25">
      <c r="A27" s="1"/>
      <c r="B27" s="6" t="s">
        <v>52</v>
      </c>
      <c r="C27" s="80" t="s">
        <v>58</v>
      </c>
      <c r="D27" s="81"/>
      <c r="E27" s="81"/>
      <c r="F27" s="82"/>
      <c r="G27" s="1"/>
    </row>
    <row r="28" spans="1:7" x14ac:dyDescent="0.25">
      <c r="A28" s="1"/>
      <c r="B28" s="6" t="s">
        <v>46</v>
      </c>
      <c r="C28" s="80" t="s">
        <v>31</v>
      </c>
      <c r="D28" s="81"/>
      <c r="E28" s="81"/>
      <c r="F28" s="82"/>
      <c r="G28" s="1"/>
    </row>
    <row r="29" spans="1:7" x14ac:dyDescent="0.25">
      <c r="A29" s="1"/>
      <c r="B29" s="6" t="s">
        <v>88</v>
      </c>
      <c r="C29" s="88" t="s">
        <v>47</v>
      </c>
      <c r="D29" s="89"/>
      <c r="E29" s="89"/>
      <c r="F29" s="90"/>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sheetData>
  <sheetProtection algorithmName="SHA-512" hashValue="8QfjGSBDA/5D7sROFqxhgDfxRbi2zib9MnDZp/D+fvAZDmxqd4VLrKcMVkOwv57OrSfuU7vGu1Np4JZBZyTL7Q==" saltValue="Dd+qnXRznpWCQiio4CZqKA==" spinCount="100000" sheet="1" objects="1" scenarios="1"/>
  <mergeCells count="20">
    <mergeCell ref="C28:F28"/>
    <mergeCell ref="C29:F29"/>
    <mergeCell ref="C21:F21"/>
    <mergeCell ref="C24:F24"/>
    <mergeCell ref="C25:F25"/>
    <mergeCell ref="C27:F27"/>
    <mergeCell ref="C26:F26"/>
    <mergeCell ref="C23:F23"/>
    <mergeCell ref="C14:F14"/>
    <mergeCell ref="C6:F7"/>
    <mergeCell ref="C22:F22"/>
    <mergeCell ref="C11:F11"/>
    <mergeCell ref="C8:F8"/>
    <mergeCell ref="C15:F15"/>
    <mergeCell ref="C16:F16"/>
    <mergeCell ref="C13:F13"/>
    <mergeCell ref="C17:F17"/>
    <mergeCell ref="C18:F18"/>
    <mergeCell ref="C19:F19"/>
    <mergeCell ref="C20:F20"/>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8.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55</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98" t="s">
        <v>142</v>
      </c>
      <c r="C8" s="99"/>
      <c r="D8" s="100"/>
      <c r="E8" s="1"/>
    </row>
    <row r="9" spans="1:5" ht="15" customHeight="1" x14ac:dyDescent="0.25">
      <c r="A9" s="1"/>
      <c r="B9" s="51" t="s">
        <v>27</v>
      </c>
      <c r="C9" s="45" t="s">
        <v>145</v>
      </c>
      <c r="D9" s="11"/>
      <c r="E9" s="1"/>
    </row>
    <row r="10" spans="1:5" ht="15" customHeight="1" x14ac:dyDescent="0.25">
      <c r="A10" s="1"/>
      <c r="B10" s="65" t="s">
        <v>197</v>
      </c>
      <c r="C10" s="66">
        <v>19124452</v>
      </c>
      <c r="D10" s="14" t="s">
        <v>3</v>
      </c>
      <c r="E10" s="1"/>
    </row>
    <row r="11" spans="1:5" x14ac:dyDescent="0.25">
      <c r="A11" s="1"/>
      <c r="B11" s="65" t="s">
        <v>198</v>
      </c>
      <c r="C11" s="66">
        <v>120187</v>
      </c>
      <c r="D11" s="14" t="s">
        <v>3</v>
      </c>
      <c r="E11" s="1"/>
    </row>
    <row r="12" spans="1:5" x14ac:dyDescent="0.25">
      <c r="A12" s="1"/>
      <c r="B12" s="65" t="s">
        <v>199</v>
      </c>
      <c r="C12" s="66">
        <v>61881</v>
      </c>
      <c r="D12" s="14" t="s">
        <v>3</v>
      </c>
      <c r="E12" s="1"/>
    </row>
    <row r="13" spans="1:5" x14ac:dyDescent="0.25">
      <c r="A13" s="1"/>
      <c r="B13" s="65" t="s">
        <v>200</v>
      </c>
      <c r="C13" s="66">
        <v>54606</v>
      </c>
      <c r="D13" s="14" t="s">
        <v>3</v>
      </c>
      <c r="E13" s="1"/>
    </row>
    <row r="14" spans="1:5" x14ac:dyDescent="0.25">
      <c r="A14" s="1"/>
      <c r="B14" s="65"/>
      <c r="C14" s="66"/>
      <c r="D14" s="14" t="s">
        <v>3</v>
      </c>
      <c r="E14" s="1"/>
    </row>
    <row r="15" spans="1:5" x14ac:dyDescent="0.25">
      <c r="A15" s="1"/>
      <c r="B15" s="65"/>
      <c r="C15" s="66"/>
      <c r="D15" s="14" t="s">
        <v>3</v>
      </c>
      <c r="E15" s="1"/>
    </row>
    <row r="16" spans="1:5" x14ac:dyDescent="0.25">
      <c r="A16" s="1"/>
      <c r="B16" s="65"/>
      <c r="C16" s="66"/>
      <c r="D16" s="14" t="s">
        <v>3</v>
      </c>
      <c r="E16" s="1"/>
    </row>
    <row r="17" spans="1:5" x14ac:dyDescent="0.25">
      <c r="A17" s="1"/>
      <c r="B17" s="65"/>
      <c r="C17" s="66"/>
      <c r="D17" s="14" t="s">
        <v>3</v>
      </c>
      <c r="E17" s="1"/>
    </row>
    <row r="18" spans="1:5" x14ac:dyDescent="0.25">
      <c r="A18" s="1"/>
      <c r="B18" s="65"/>
      <c r="C18" s="66"/>
      <c r="D18" s="14" t="s">
        <v>3</v>
      </c>
      <c r="E18" s="1"/>
    </row>
    <row r="19" spans="1:5" x14ac:dyDescent="0.25">
      <c r="A19" s="1"/>
      <c r="B19" s="52" t="s">
        <v>143</v>
      </c>
      <c r="C19" s="12">
        <f>SUM(C10:C18)</f>
        <v>19361126</v>
      </c>
      <c r="D19" s="13" t="s">
        <v>3</v>
      </c>
      <c r="E19" s="1"/>
    </row>
    <row r="20" spans="1:5" x14ac:dyDescent="0.25">
      <c r="A20" s="1"/>
      <c r="B20" s="52" t="s">
        <v>144</v>
      </c>
      <c r="C20" s="12">
        <f>C19*(1+'Fane 13. Nøgletal'!C11)^2</f>
        <v>22013516.815546941</v>
      </c>
      <c r="D20" s="13" t="s">
        <v>3</v>
      </c>
      <c r="E20" s="1"/>
    </row>
    <row r="21" spans="1:5" x14ac:dyDescent="0.25">
      <c r="A21" s="1"/>
      <c r="B21" s="16"/>
      <c r="C21" s="15"/>
      <c r="D21" s="15"/>
      <c r="E21" s="1"/>
    </row>
    <row r="22" spans="1:5" x14ac:dyDescent="0.25">
      <c r="A22" s="1"/>
      <c r="B22" s="16"/>
      <c r="C22" s="15"/>
      <c r="D22" s="15"/>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40"/>
      <c r="B51" s="40"/>
      <c r="C51" s="40"/>
      <c r="D51" s="40"/>
      <c r="E51" s="40"/>
    </row>
    <row r="52" spans="1:5" hidden="1" x14ac:dyDescent="0.25">
      <c r="A52" s="40"/>
      <c r="B52" s="40"/>
      <c r="C52" s="40"/>
      <c r="D52" s="40"/>
      <c r="E52" s="40"/>
    </row>
    <row r="53" spans="1:5" hidden="1" x14ac:dyDescent="0.25">
      <c r="A53" s="40"/>
      <c r="B53" s="40"/>
      <c r="C53" s="40"/>
      <c r="D53" s="40"/>
      <c r="E53" s="40"/>
    </row>
    <row r="54" spans="1:5" hidden="1" x14ac:dyDescent="0.25">
      <c r="A54" s="40"/>
      <c r="B54" s="40"/>
      <c r="C54" s="40"/>
      <c r="D54" s="40"/>
      <c r="E54" s="40"/>
    </row>
    <row r="55" spans="1:5" hidden="1" x14ac:dyDescent="0.25">
      <c r="A55" s="40"/>
      <c r="B55" s="40"/>
      <c r="C55" s="40"/>
      <c r="D55" s="40"/>
      <c r="E55" s="40"/>
    </row>
    <row r="56" spans="1:5" hidden="1" x14ac:dyDescent="0.25">
      <c r="A56" s="40"/>
      <c r="B56" s="40"/>
      <c r="C56" s="40"/>
      <c r="D56" s="40"/>
      <c r="E56" s="40"/>
    </row>
  </sheetData>
  <sheetProtection algorithmName="SHA-512" hashValue="xJR2lTwktWhCD7+55Scg9wsW3SQeYf4DPc4kCnAn7jWJ3a7KvJI1C+B1CKBjiXSlKVIcDhVXMMRUFDFh5/uGdA==" saltValue="Vd9GoeYeZC6rn/re2HXUXg=="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6" t="s">
        <v>172</v>
      </c>
      <c r="C3" s="96"/>
      <c r="D3" s="96"/>
      <c r="E3" s="1"/>
    </row>
    <row r="4" spans="1:5" ht="15" customHeight="1" x14ac:dyDescent="0.25">
      <c r="A4" s="1"/>
      <c r="B4" s="96"/>
      <c r="C4" s="96"/>
      <c r="D4" s="96"/>
      <c r="E4" s="1"/>
    </row>
    <row r="5" spans="1:5" ht="15" customHeight="1" x14ac:dyDescent="0.25">
      <c r="A5" s="1"/>
      <c r="B5" s="96"/>
      <c r="C5" s="96"/>
      <c r="D5" s="96"/>
      <c r="E5" s="1"/>
    </row>
    <row r="6" spans="1:5" ht="15" customHeight="1" x14ac:dyDescent="0.25">
      <c r="A6" s="1"/>
      <c r="B6" s="68"/>
      <c r="C6" s="68"/>
      <c r="D6" s="68"/>
      <c r="E6" s="1"/>
    </row>
    <row r="7" spans="1:5" x14ac:dyDescent="0.25">
      <c r="A7" s="1"/>
      <c r="B7" s="1"/>
      <c r="C7" s="1"/>
      <c r="D7" s="1"/>
      <c r="E7" s="1"/>
    </row>
    <row r="8" spans="1:5" x14ac:dyDescent="0.25">
      <c r="A8" s="1"/>
      <c r="B8" s="98" t="s">
        <v>175</v>
      </c>
      <c r="C8" s="99"/>
      <c r="D8" s="100"/>
      <c r="E8" s="1"/>
    </row>
    <row r="9" spans="1:5" x14ac:dyDescent="0.25">
      <c r="A9" s="1"/>
      <c r="B9" s="56" t="s">
        <v>176</v>
      </c>
      <c r="C9" s="9">
        <v>20606135.425601989</v>
      </c>
      <c r="D9" s="39" t="s">
        <v>3</v>
      </c>
      <c r="E9" s="1"/>
    </row>
    <row r="10" spans="1:5" x14ac:dyDescent="0.25">
      <c r="A10" s="1"/>
      <c r="B10" s="56" t="s">
        <v>174</v>
      </c>
      <c r="C10" s="9">
        <v>18489999.590273768</v>
      </c>
      <c r="D10" s="14" t="s">
        <v>3</v>
      </c>
      <c r="E10" s="1"/>
    </row>
    <row r="11" spans="1:5" x14ac:dyDescent="0.25">
      <c r="A11" s="1"/>
      <c r="B11" s="52"/>
      <c r="C11" s="53"/>
      <c r="D11" s="19"/>
      <c r="E11" s="1"/>
    </row>
    <row r="12" spans="1:5" ht="53.85" customHeight="1" x14ac:dyDescent="0.25">
      <c r="A12" s="1"/>
      <c r="B12" s="107" t="s">
        <v>173</v>
      </c>
      <c r="C12" s="108"/>
      <c r="D12" s="109"/>
      <c r="E12" s="1"/>
    </row>
    <row r="13" spans="1:5" x14ac:dyDescent="0.25">
      <c r="A13" s="1"/>
      <c r="B13" s="1"/>
      <c r="C13" s="1"/>
      <c r="D13" s="1"/>
      <c r="E13" s="1"/>
    </row>
    <row r="14" spans="1:5" x14ac:dyDescent="0.25">
      <c r="A14" s="1"/>
      <c r="B14" s="69" t="s">
        <v>177</v>
      </c>
      <c r="C14" s="70"/>
      <c r="D14" s="71"/>
      <c r="E14" s="1"/>
    </row>
    <row r="15" spans="1:5" x14ac:dyDescent="0.25">
      <c r="A15" s="1"/>
      <c r="B15" s="56" t="s">
        <v>178</v>
      </c>
      <c r="C15" s="9">
        <f>IF(C10&lt;0,C10,0)</f>
        <v>0</v>
      </c>
      <c r="D15" s="14" t="s">
        <v>3</v>
      </c>
      <c r="E15" s="1"/>
    </row>
    <row r="16" spans="1:5" x14ac:dyDescent="0.25">
      <c r="A16" s="1"/>
      <c r="B16" s="56" t="s">
        <v>185</v>
      </c>
      <c r="C16" s="9">
        <f>IF(SUM(C9)&gt;0,SUM(C9),0)</f>
        <v>20606135.425601989</v>
      </c>
      <c r="D16" s="14" t="s">
        <v>3</v>
      </c>
      <c r="E16" s="1"/>
    </row>
    <row r="17" spans="1:5" ht="26.25" x14ac:dyDescent="0.25">
      <c r="A17" s="1"/>
      <c r="B17" s="72" t="s">
        <v>179</v>
      </c>
      <c r="C17" s="62">
        <f>IF(SUM(C15:C16)&gt;0,0,SUM(C15:C16))</f>
        <v>0</v>
      </c>
      <c r="D17" s="17" t="s">
        <v>3</v>
      </c>
      <c r="E17" s="1"/>
    </row>
    <row r="18" spans="1:5" x14ac:dyDescent="0.25">
      <c r="A18" s="1"/>
      <c r="B18" s="52"/>
      <c r="C18" s="53"/>
      <c r="D18" s="19"/>
      <c r="E18" s="1"/>
    </row>
    <row r="19" spans="1:5" x14ac:dyDescent="0.25">
      <c r="A19" s="1"/>
      <c r="B19" s="1"/>
      <c r="C19" s="1"/>
      <c r="D19" s="1"/>
      <c r="E19" s="1"/>
    </row>
    <row r="20" spans="1:5" x14ac:dyDescent="0.25">
      <c r="A20" s="1"/>
      <c r="B20" s="69" t="s">
        <v>180</v>
      </c>
      <c r="C20" s="70"/>
      <c r="D20" s="71"/>
      <c r="E20" s="1"/>
    </row>
    <row r="21" spans="1:5" x14ac:dyDescent="0.25">
      <c r="A21" s="1"/>
      <c r="B21" s="56" t="s">
        <v>181</v>
      </c>
      <c r="C21" s="9">
        <v>73435367.581179902</v>
      </c>
      <c r="D21" s="14" t="s">
        <v>3</v>
      </c>
      <c r="E21" s="1"/>
    </row>
    <row r="22" spans="1:5" x14ac:dyDescent="0.25">
      <c r="A22" s="1"/>
      <c r="B22" s="56" t="s">
        <v>182</v>
      </c>
      <c r="C22" s="9">
        <v>67454053</v>
      </c>
      <c r="D22" s="14" t="s">
        <v>3</v>
      </c>
      <c r="E22" s="1"/>
    </row>
    <row r="23" spans="1:5" x14ac:dyDescent="0.25">
      <c r="A23" s="1"/>
      <c r="B23" s="56" t="s">
        <v>28</v>
      </c>
      <c r="C23" s="9">
        <v>0</v>
      </c>
      <c r="D23" s="14" t="s">
        <v>3</v>
      </c>
      <c r="E23" s="1"/>
    </row>
    <row r="24" spans="1:5" x14ac:dyDescent="0.25">
      <c r="A24" s="1"/>
      <c r="B24" s="74" t="s">
        <v>183</v>
      </c>
      <c r="C24" s="46">
        <f>C21-C22-C23</f>
        <v>5981314.581179902</v>
      </c>
      <c r="D24" s="17" t="s">
        <v>3</v>
      </c>
      <c r="E24" s="1"/>
    </row>
    <row r="25" spans="1:5" x14ac:dyDescent="0.25">
      <c r="A25" s="1"/>
      <c r="B25" s="52"/>
      <c r="C25" s="53"/>
      <c r="D25" s="19"/>
      <c r="E25" s="1"/>
    </row>
    <row r="26" spans="1:5" x14ac:dyDescent="0.25">
      <c r="A26" s="1"/>
      <c r="B26" s="1"/>
      <c r="C26" s="1"/>
      <c r="D26" s="1"/>
      <c r="E26" s="1"/>
    </row>
    <row r="27" spans="1:5" x14ac:dyDescent="0.25">
      <c r="A27" s="1"/>
      <c r="B27" s="98" t="s">
        <v>184</v>
      </c>
      <c r="C27" s="99"/>
      <c r="D27" s="100"/>
      <c r="E27" s="1"/>
    </row>
    <row r="28" spans="1:5" x14ac:dyDescent="0.25">
      <c r="A28" s="1"/>
      <c r="B28" s="57" t="s">
        <v>65</v>
      </c>
      <c r="C28" s="9">
        <f>IF(C17&lt;0,IF(C24&lt;0,SUM(C17,C24),IF(C9&gt;0,SUM(C9:C10),C17)),IF(AND(C24&lt;0,SUM(C24,C10)&lt;0),IF(C10&lt;0,C24,IF(SUM(C9:C10)&gt;0,SUM(C24,C10),IF(AND(C24&lt;0,C17=0,C10&gt;0),IF(SUM(C9:C10)&gt;0,C24+C10,C24)))),IF(AND(SUM(C9:C10)&lt;0,C17=0,C24&lt;0),C24,0)))</f>
        <v>0</v>
      </c>
      <c r="D28" s="14" t="s">
        <v>3</v>
      </c>
      <c r="E28" s="1"/>
    </row>
    <row r="29" spans="1:5" x14ac:dyDescent="0.25">
      <c r="A29" s="1"/>
      <c r="B29" s="57" t="s">
        <v>48</v>
      </c>
      <c r="C29" s="9">
        <v>2</v>
      </c>
      <c r="D29" s="14" t="s">
        <v>18</v>
      </c>
      <c r="E29" s="1"/>
    </row>
    <row r="30" spans="1:5" x14ac:dyDescent="0.25">
      <c r="A30" s="1"/>
      <c r="B30" s="58" t="s">
        <v>64</v>
      </c>
      <c r="C30" s="10">
        <f>C28/C29</f>
        <v>0</v>
      </c>
      <c r="D30" s="17" t="s">
        <v>3</v>
      </c>
      <c r="E30" s="1"/>
    </row>
    <row r="31" spans="1:5" x14ac:dyDescent="0.25">
      <c r="A31" s="1"/>
      <c r="B31" s="110"/>
      <c r="C31" s="111"/>
      <c r="D31" s="112"/>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40"/>
      <c r="B48" s="40"/>
      <c r="C48" s="40"/>
      <c r="D48" s="40"/>
      <c r="E48" s="40"/>
    </row>
    <row r="49" spans="1:5" hidden="1" x14ac:dyDescent="0.25">
      <c r="A49" s="40"/>
      <c r="B49" s="40"/>
      <c r="C49" s="40"/>
      <c r="D49" s="40"/>
      <c r="E49" s="40"/>
    </row>
    <row r="50" spans="1:5" hidden="1" x14ac:dyDescent="0.25">
      <c r="A50" s="40"/>
      <c r="B50" s="40"/>
      <c r="C50" s="40"/>
      <c r="D50" s="40"/>
      <c r="E50" s="40"/>
    </row>
    <row r="51" spans="1:5" hidden="1" x14ac:dyDescent="0.25">
      <c r="A51" s="40"/>
      <c r="E51" s="40"/>
    </row>
  </sheetData>
  <sheetProtection algorithmName="SHA-512" hashValue="TQ/beeCFX9wOT0gKPMHFzZ91VS1TReCEHz98WDMjk8BPinNSEFx6thzPS+rxXDib5bzXOtEXHhYaE60/jTwyWg==" saltValue="ISq6iKlTEiVCExc02jBY9Q=="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5" zeroHeight="1" x14ac:dyDescent="0.25"/>
  <cols>
    <col min="1" max="1" width="5.28515625" style="30" customWidth="1"/>
    <col min="2" max="2" width="57.140625" style="30" customWidth="1"/>
    <col min="3" max="3" width="12.5703125" style="30" customWidth="1"/>
    <col min="4" max="4" width="3.140625" style="30" customWidth="1"/>
    <col min="5" max="5" width="5.28515625" style="30" customWidth="1"/>
    <col min="6" max="16384" width="9.140625" style="30" hidden="1"/>
  </cols>
  <sheetData>
    <row r="1" spans="1:5" x14ac:dyDescent="0.25">
      <c r="A1" s="1"/>
      <c r="B1" s="1"/>
      <c r="C1" s="1"/>
      <c r="D1" s="1"/>
      <c r="E1" s="1"/>
    </row>
    <row r="2" spans="1:5" x14ac:dyDescent="0.25">
      <c r="A2" s="1"/>
      <c r="B2" s="1"/>
      <c r="C2" s="1"/>
      <c r="D2" s="1"/>
      <c r="E2" s="1"/>
    </row>
    <row r="3" spans="1:5" ht="15" customHeight="1" x14ac:dyDescent="0.25">
      <c r="A3" s="1"/>
      <c r="B3" s="96" t="s">
        <v>96</v>
      </c>
      <c r="C3" s="96"/>
      <c r="D3" s="96"/>
      <c r="E3" s="1"/>
    </row>
    <row r="4" spans="1:5" ht="15" customHeight="1" x14ac:dyDescent="0.25">
      <c r="A4" s="1"/>
      <c r="B4" s="96"/>
      <c r="C4" s="96"/>
      <c r="D4" s="96"/>
      <c r="E4" s="1"/>
    </row>
    <row r="5" spans="1:5" x14ac:dyDescent="0.25">
      <c r="A5" s="1"/>
      <c r="B5" s="96"/>
      <c r="C5" s="96"/>
      <c r="D5" s="96"/>
      <c r="E5" s="1"/>
    </row>
    <row r="6" spans="1:5" x14ac:dyDescent="0.25">
      <c r="A6" s="1"/>
      <c r="B6" s="1"/>
      <c r="C6" s="1"/>
      <c r="D6" s="1"/>
      <c r="E6" s="1"/>
    </row>
    <row r="7" spans="1:5" x14ac:dyDescent="0.25">
      <c r="A7" s="1"/>
      <c r="B7" s="1"/>
      <c r="C7" s="1"/>
      <c r="D7" s="1"/>
      <c r="E7" s="1"/>
    </row>
    <row r="8" spans="1:5" x14ac:dyDescent="0.25">
      <c r="A8" s="1"/>
      <c r="B8" s="98" t="s">
        <v>97</v>
      </c>
      <c r="C8" s="99"/>
      <c r="D8" s="100"/>
      <c r="E8" s="1"/>
    </row>
    <row r="9" spans="1:5" ht="15" customHeight="1" x14ac:dyDescent="0.25">
      <c r="A9" s="1"/>
      <c r="B9" s="113" t="s">
        <v>123</v>
      </c>
      <c r="C9" s="114"/>
      <c r="D9" s="115"/>
      <c r="E9" s="1"/>
    </row>
    <row r="10" spans="1:5" x14ac:dyDescent="0.25">
      <c r="A10" s="1"/>
      <c r="B10" s="59" t="s">
        <v>98</v>
      </c>
      <c r="C10" s="41"/>
      <c r="D10" s="9" t="s">
        <v>3</v>
      </c>
      <c r="E10" s="1"/>
    </row>
    <row r="11" spans="1:5" x14ac:dyDescent="0.25">
      <c r="A11" s="1"/>
      <c r="B11" s="59" t="s">
        <v>99</v>
      </c>
      <c r="C11" s="41"/>
      <c r="D11" s="9" t="s">
        <v>3</v>
      </c>
      <c r="E11" s="1"/>
    </row>
    <row r="12" spans="1:5" x14ac:dyDescent="0.25">
      <c r="A12" s="1"/>
      <c r="B12" s="59" t="s">
        <v>100</v>
      </c>
      <c r="C12" s="9"/>
      <c r="D12" s="9" t="s">
        <v>3</v>
      </c>
      <c r="E12" s="1"/>
    </row>
    <row r="13" spans="1:5" x14ac:dyDescent="0.25">
      <c r="A13" s="1"/>
      <c r="B13" s="59" t="s">
        <v>101</v>
      </c>
      <c r="C13" s="9"/>
      <c r="D13" s="9" t="s">
        <v>3</v>
      </c>
      <c r="E13" s="1"/>
    </row>
    <row r="14" spans="1:5" x14ac:dyDescent="0.25">
      <c r="A14" s="1"/>
      <c r="B14" s="59" t="s">
        <v>102</v>
      </c>
      <c r="C14" s="9"/>
      <c r="D14" s="9" t="s">
        <v>3</v>
      </c>
      <c r="E14" s="1"/>
    </row>
    <row r="15" spans="1:5" x14ac:dyDescent="0.25">
      <c r="A15" s="1"/>
      <c r="B15" s="59" t="s">
        <v>103</v>
      </c>
      <c r="C15" s="9"/>
      <c r="D15" s="9" t="s">
        <v>3</v>
      </c>
      <c r="E15" s="1"/>
    </row>
    <row r="16" spans="1:5" x14ac:dyDescent="0.25">
      <c r="A16" s="1"/>
      <c r="B16" s="59" t="s">
        <v>104</v>
      </c>
      <c r="C16" s="9"/>
      <c r="D16" s="9" t="s">
        <v>3</v>
      </c>
      <c r="E16" s="1"/>
    </row>
    <row r="17" spans="1:5" x14ac:dyDescent="0.25">
      <c r="A17" s="1"/>
      <c r="B17" s="59" t="s">
        <v>105</v>
      </c>
      <c r="C17" s="9"/>
      <c r="D17" s="9" t="s">
        <v>3</v>
      </c>
      <c r="E17" s="1"/>
    </row>
    <row r="18" spans="1:5" x14ac:dyDescent="0.25">
      <c r="A18" s="1"/>
      <c r="B18" s="69" t="s">
        <v>106</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AYyks2ss4q0GvGmuHQS7rqw41wi4++Jsye9LPztaaCx4wFiWKaRBSqdtSHLZnPJsWWPLLmcs5XeFHDrzlYpuBA==" saltValue="fy4vR89D5Up+T3eAU7c0Sw=="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4" t="s">
        <v>90</v>
      </c>
      <c r="C3" s="94"/>
      <c r="D3" s="94"/>
      <c r="E3" s="94"/>
      <c r="F3" s="94"/>
      <c r="G3" s="94"/>
      <c r="H3" s="94"/>
      <c r="I3" s="94"/>
      <c r="J3" s="94"/>
      <c r="K3" s="94"/>
      <c r="L3" s="1"/>
    </row>
    <row r="4" spans="1:12" ht="15" customHeight="1" x14ac:dyDescent="0.25">
      <c r="A4" s="1"/>
      <c r="B4" s="94"/>
      <c r="C4" s="94"/>
      <c r="D4" s="94"/>
      <c r="E4" s="94"/>
      <c r="F4" s="94"/>
      <c r="G4" s="94"/>
      <c r="H4" s="94"/>
      <c r="I4" s="94"/>
      <c r="J4" s="94"/>
      <c r="K4" s="9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8" t="s">
        <v>74</v>
      </c>
      <c r="C8" s="99"/>
      <c r="D8" s="99"/>
      <c r="E8" s="99"/>
      <c r="F8" s="99"/>
      <c r="G8" s="99"/>
      <c r="H8" s="99"/>
      <c r="I8" s="99"/>
      <c r="J8" s="99"/>
      <c r="K8" s="100"/>
      <c r="L8" s="1"/>
    </row>
    <row r="9" spans="1:12" ht="39.75" customHeight="1" x14ac:dyDescent="0.25">
      <c r="A9" s="1"/>
      <c r="B9" s="18" t="s">
        <v>0</v>
      </c>
      <c r="C9" s="18" t="s">
        <v>1</v>
      </c>
      <c r="D9" s="116" t="s">
        <v>83</v>
      </c>
      <c r="E9" s="117"/>
      <c r="F9" s="116" t="s">
        <v>2</v>
      </c>
      <c r="G9" s="117"/>
      <c r="H9" s="116" t="s">
        <v>84</v>
      </c>
      <c r="I9" s="117"/>
      <c r="J9" s="116" t="s">
        <v>25</v>
      </c>
      <c r="K9" s="117"/>
      <c r="L9" s="1"/>
    </row>
    <row r="10" spans="1:12" x14ac:dyDescent="0.25">
      <c r="A10" s="1"/>
      <c r="B10" s="59" t="s">
        <v>192</v>
      </c>
      <c r="C10" s="48">
        <v>0</v>
      </c>
      <c r="D10" s="9">
        <v>0</v>
      </c>
      <c r="E10" s="14" t="s">
        <v>3</v>
      </c>
      <c r="F10" s="61">
        <f>IFERROR(D10/C10,0)</f>
        <v>0</v>
      </c>
      <c r="G10" s="14" t="s">
        <v>3</v>
      </c>
      <c r="H10" s="9">
        <v>0</v>
      </c>
      <c r="I10" s="14" t="s">
        <v>3</v>
      </c>
      <c r="J10" s="9">
        <v>0</v>
      </c>
      <c r="K10" s="14" t="s">
        <v>3</v>
      </c>
      <c r="L10" s="1"/>
    </row>
    <row r="11" spans="1:12" x14ac:dyDescent="0.25">
      <c r="A11" s="1"/>
      <c r="B11" s="52" t="s">
        <v>146</v>
      </c>
      <c r="C11" s="53"/>
      <c r="D11" s="19"/>
      <c r="E11" s="71"/>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hidden="1" x14ac:dyDescent="0.25">
      <c r="A43" s="40"/>
      <c r="B43" s="40"/>
      <c r="C43" s="40"/>
      <c r="D43" s="40"/>
      <c r="E43" s="40"/>
      <c r="F43" s="40"/>
      <c r="G43" s="40"/>
      <c r="H43" s="40"/>
      <c r="I43" s="40"/>
      <c r="J43" s="40"/>
      <c r="K43" s="40"/>
      <c r="L43" s="40"/>
    </row>
    <row r="44" spans="1:12" hidden="1" x14ac:dyDescent="0.25">
      <c r="A44" s="40"/>
      <c r="B44" s="40"/>
      <c r="C44" s="40"/>
      <c r="D44" s="40"/>
      <c r="E44" s="40"/>
      <c r="F44" s="40"/>
      <c r="G44" s="40"/>
      <c r="H44" s="40"/>
      <c r="I44" s="40"/>
      <c r="J44" s="40"/>
      <c r="K44" s="40"/>
      <c r="L44" s="40"/>
    </row>
    <row r="45" spans="1:12" hidden="1" x14ac:dyDescent="0.25">
      <c r="A45" s="40"/>
      <c r="B45" s="40"/>
      <c r="C45" s="40"/>
      <c r="D45" s="40"/>
      <c r="E45" s="40"/>
      <c r="F45" s="40"/>
      <c r="G45" s="40"/>
      <c r="H45" s="40"/>
      <c r="I45" s="40"/>
      <c r="J45" s="40"/>
      <c r="K45" s="40"/>
      <c r="L45" s="40"/>
    </row>
    <row r="46" spans="1:12" hidden="1" x14ac:dyDescent="0.25">
      <c r="A46" s="40"/>
      <c r="B46" s="40"/>
      <c r="C46" s="40"/>
      <c r="D46" s="40"/>
      <c r="E46" s="40"/>
      <c r="F46" s="40"/>
      <c r="G46" s="40"/>
      <c r="H46" s="40"/>
      <c r="I46" s="40"/>
      <c r="J46" s="40"/>
      <c r="K46" s="40"/>
      <c r="L46" s="40"/>
    </row>
    <row r="47" spans="1:12" hidden="1" x14ac:dyDescent="0.25"/>
    <row r="48" spans="1:12" hidden="1" x14ac:dyDescent="0.25"/>
    <row r="49" hidden="1" x14ac:dyDescent="0.25"/>
    <row r="50" hidden="1" x14ac:dyDescent="0.25"/>
    <row r="51" hidden="1" x14ac:dyDescent="0.25"/>
    <row r="52" hidden="1" x14ac:dyDescent="0.25"/>
  </sheetData>
  <sheetProtection algorithmName="SHA-512" hashValue="Kt8EiQKqb4hAJDaN0OCf5JQ2gQLH1/9xih7l/M/WvbO0q2/eoTO+/hMkLrgxo6r2ogTy7IRsaZ6CK/ab9OqlTA==" saltValue="BaYDzTXI8UwJgJ2zKAjibw=="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140625" style="2" customWidth="1"/>
    <col min="5" max="5" width="13.570312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91</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34</v>
      </c>
      <c r="C8" s="53"/>
      <c r="D8" s="53"/>
      <c r="E8" s="53"/>
      <c r="F8" s="19"/>
      <c r="G8" s="1"/>
    </row>
    <row r="9" spans="1:7" ht="17.25" customHeight="1" x14ac:dyDescent="0.25">
      <c r="A9" s="1"/>
      <c r="B9" s="72" t="s">
        <v>15</v>
      </c>
      <c r="C9" s="74" t="s">
        <v>10</v>
      </c>
      <c r="D9" s="73"/>
      <c r="E9" s="74" t="s">
        <v>26</v>
      </c>
      <c r="F9" s="27"/>
      <c r="G9" s="1"/>
    </row>
    <row r="10" spans="1:7" x14ac:dyDescent="0.25">
      <c r="A10" s="1"/>
      <c r="B10" s="23" t="s">
        <v>77</v>
      </c>
      <c r="C10" s="21">
        <f>'Fane 9. Anlægsprojekter (§ 19) '!H11</f>
        <v>0</v>
      </c>
      <c r="D10" s="14" t="s">
        <v>3</v>
      </c>
      <c r="E10" s="9">
        <f>'Fane 9. Anlægsprojekter (§ 19) '!F11+'Fane 9. Anlægsprojekter (§ 19) '!J11</f>
        <v>0</v>
      </c>
      <c r="F10" s="14" t="s">
        <v>3</v>
      </c>
      <c r="G10" s="1"/>
    </row>
    <row r="11" spans="1:7" x14ac:dyDescent="0.25">
      <c r="A11" s="1"/>
      <c r="B11" s="26" t="s">
        <v>201</v>
      </c>
      <c r="C11" s="21">
        <v>162881</v>
      </c>
      <c r="D11" s="14" t="s">
        <v>3</v>
      </c>
      <c r="E11" s="9">
        <v>205951</v>
      </c>
      <c r="F11" s="14" t="s">
        <v>3</v>
      </c>
      <c r="G11" s="1"/>
    </row>
    <row r="12" spans="1:7" x14ac:dyDescent="0.25">
      <c r="A12" s="1"/>
      <c r="B12" s="26" t="s">
        <v>202</v>
      </c>
      <c r="C12" s="21">
        <v>0</v>
      </c>
      <c r="D12" s="14" t="s">
        <v>3</v>
      </c>
      <c r="E12" s="9">
        <v>158842</v>
      </c>
      <c r="F12" s="14" t="s">
        <v>3</v>
      </c>
      <c r="G12" s="1"/>
    </row>
    <row r="13" spans="1:7" x14ac:dyDescent="0.25">
      <c r="A13" s="1"/>
      <c r="B13" s="26" t="s">
        <v>203</v>
      </c>
      <c r="C13" s="21">
        <v>60934</v>
      </c>
      <c r="D13" s="14" t="s">
        <v>3</v>
      </c>
      <c r="E13" s="9">
        <v>30290</v>
      </c>
      <c r="F13" s="14" t="s">
        <v>3</v>
      </c>
      <c r="G13" s="1"/>
    </row>
    <row r="14" spans="1:7" x14ac:dyDescent="0.25">
      <c r="A14" s="1"/>
      <c r="B14" s="26" t="s">
        <v>204</v>
      </c>
      <c r="C14" s="21">
        <v>3418</v>
      </c>
      <c r="D14" s="14" t="s">
        <v>3</v>
      </c>
      <c r="E14" s="9">
        <v>56210</v>
      </c>
      <c r="F14" s="14" t="s">
        <v>3</v>
      </c>
      <c r="G14" s="1"/>
    </row>
    <row r="15" spans="1:7" x14ac:dyDescent="0.25">
      <c r="A15" s="1"/>
      <c r="B15" s="26"/>
      <c r="C15" s="21"/>
      <c r="D15" s="14" t="s">
        <v>3</v>
      </c>
      <c r="E15" s="9"/>
      <c r="F15" s="14" t="s">
        <v>3</v>
      </c>
      <c r="G15" s="1"/>
    </row>
    <row r="16" spans="1:7" x14ac:dyDescent="0.25">
      <c r="A16" s="1"/>
      <c r="B16" s="26"/>
      <c r="C16" s="21"/>
      <c r="D16" s="14" t="s">
        <v>3</v>
      </c>
      <c r="E16" s="9"/>
      <c r="F16" s="14" t="s">
        <v>3</v>
      </c>
      <c r="G16" s="1"/>
    </row>
    <row r="17" spans="1:7" x14ac:dyDescent="0.25">
      <c r="A17" s="1"/>
      <c r="B17" s="52" t="s">
        <v>112</v>
      </c>
      <c r="C17" s="12">
        <f>SUM(C10:C16)</f>
        <v>227233</v>
      </c>
      <c r="D17" s="13" t="s">
        <v>3</v>
      </c>
      <c r="E17" s="12">
        <f>SUM(E10:E16)</f>
        <v>451293</v>
      </c>
      <c r="F17" s="13" t="s">
        <v>3</v>
      </c>
      <c r="G17" s="1"/>
    </row>
    <row r="18" spans="1:7" x14ac:dyDescent="0.25">
      <c r="A18" s="1"/>
      <c r="B18" s="52" t="s">
        <v>147</v>
      </c>
      <c r="C18" s="12">
        <f>C17*(1+'Fane 13. Nøgletal'!C11)</f>
        <v>242298.54790000001</v>
      </c>
      <c r="D18" s="13" t="s">
        <v>3</v>
      </c>
      <c r="E18" s="12">
        <f>E17*(1+'Fane 13. Nøgletal'!C11)</f>
        <v>481213.72590000002</v>
      </c>
      <c r="F18" s="13" t="s">
        <v>3</v>
      </c>
      <c r="G18" s="1"/>
    </row>
    <row r="19" spans="1:7" x14ac:dyDescent="0.25">
      <c r="A19" s="1"/>
      <c r="B19" s="1"/>
      <c r="C19" s="1" t="s">
        <v>82</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row r="52" spans="1:7" hidden="1" x14ac:dyDescent="0.25">
      <c r="A52" s="40"/>
      <c r="B52" s="40"/>
      <c r="C52" s="40"/>
      <c r="D52" s="40"/>
      <c r="E52" s="40"/>
      <c r="F52" s="40"/>
      <c r="G52" s="40"/>
    </row>
    <row r="53" spans="1:7" hidden="1" x14ac:dyDescent="0.25">
      <c r="A53" s="40"/>
      <c r="B53" s="40"/>
      <c r="C53" s="40"/>
      <c r="D53" s="40"/>
      <c r="E53" s="40"/>
      <c r="F53" s="40"/>
      <c r="G53" s="40"/>
    </row>
    <row r="54" spans="1:7" hidden="1" x14ac:dyDescent="0.25">
      <c r="A54" s="40"/>
      <c r="B54" s="40"/>
      <c r="C54" s="40"/>
      <c r="D54" s="40"/>
      <c r="E54" s="40"/>
      <c r="F54" s="40"/>
      <c r="G54" s="40"/>
    </row>
    <row r="55" spans="1:7" hidden="1" x14ac:dyDescent="0.25">
      <c r="A55" s="40"/>
      <c r="B55" s="40"/>
      <c r="C55" s="40"/>
      <c r="D55" s="40"/>
      <c r="E55" s="40"/>
      <c r="F55" s="40"/>
      <c r="G55" s="40"/>
    </row>
    <row r="56" spans="1:7" hidden="1" x14ac:dyDescent="0.25">
      <c r="A56" s="40"/>
      <c r="B56" s="40"/>
      <c r="C56" s="40"/>
      <c r="D56" s="40"/>
      <c r="E56" s="40"/>
      <c r="F56" s="40"/>
      <c r="G56" s="40"/>
    </row>
    <row r="57" spans="1:7" hidden="1" x14ac:dyDescent="0.25">
      <c r="A57" s="40"/>
      <c r="B57" s="40"/>
      <c r="C57" s="40"/>
      <c r="D57" s="40"/>
      <c r="E57" s="40"/>
      <c r="F57" s="40"/>
      <c r="G57" s="40"/>
    </row>
  </sheetData>
  <sheetProtection algorithmName="SHA-512" hashValue="5pAva8NfSean8hvQAvpbOP+N4qEG3lkn0lDbJv/Pd4MZjBJCTwi4Gs9IZIvK5rWqUS+X5NBnTkeBQpFAMzjYbA==" saltValue="GXT+UGSNTD0wHRcGKwHjJA=="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92</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8" t="s">
        <v>150</v>
      </c>
      <c r="C8" s="99"/>
      <c r="D8" s="99"/>
      <c r="E8" s="99"/>
      <c r="F8" s="100"/>
      <c r="G8" s="1"/>
    </row>
    <row r="9" spans="1:7" x14ac:dyDescent="0.25">
      <c r="A9" s="1"/>
      <c r="B9" s="72" t="s">
        <v>15</v>
      </c>
      <c r="C9" s="74" t="s">
        <v>10</v>
      </c>
      <c r="D9" s="75"/>
      <c r="E9" s="74" t="s">
        <v>26</v>
      </c>
      <c r="F9" s="27"/>
      <c r="G9" s="1"/>
    </row>
    <row r="10" spans="1:7" x14ac:dyDescent="0.25">
      <c r="A10" s="1"/>
      <c r="B10" s="23" t="s">
        <v>205</v>
      </c>
      <c r="C10" s="21">
        <v>1085087</v>
      </c>
      <c r="D10" s="14" t="s">
        <v>3</v>
      </c>
      <c r="E10" s="9">
        <v>0</v>
      </c>
      <c r="F10" s="14" t="s">
        <v>3</v>
      </c>
      <c r="G10" s="1"/>
    </row>
    <row r="11" spans="1:7" x14ac:dyDescent="0.25">
      <c r="A11" s="1"/>
      <c r="B11" s="23"/>
      <c r="C11" s="21"/>
      <c r="D11" s="14" t="s">
        <v>3</v>
      </c>
      <c r="E11" s="9"/>
      <c r="F11" s="14" t="s">
        <v>3</v>
      </c>
      <c r="G11" s="1"/>
    </row>
    <row r="12" spans="1:7" x14ac:dyDescent="0.25">
      <c r="A12" s="1"/>
      <c r="B12" s="23"/>
      <c r="C12" s="21"/>
      <c r="D12" s="14" t="s">
        <v>3</v>
      </c>
      <c r="E12" s="9"/>
      <c r="F12" s="14" t="s">
        <v>3</v>
      </c>
      <c r="G12" s="1"/>
    </row>
    <row r="13" spans="1:7" x14ac:dyDescent="0.25">
      <c r="A13" s="1"/>
      <c r="B13" s="52" t="s">
        <v>148</v>
      </c>
      <c r="C13" s="12">
        <f>SUM(C10:C12)</f>
        <v>1085087</v>
      </c>
      <c r="D13" s="13" t="s">
        <v>3</v>
      </c>
      <c r="E13" s="12">
        <f>SUM(E10:E12)</f>
        <v>0</v>
      </c>
      <c r="F13" s="13" t="s">
        <v>3</v>
      </c>
      <c r="G13" s="1"/>
    </row>
    <row r="14" spans="1:7" x14ac:dyDescent="0.25">
      <c r="A14" s="1"/>
      <c r="B14" s="52" t="s">
        <v>149</v>
      </c>
      <c r="C14" s="12">
        <f>C13*(1+'Fane 13. Nøgletal'!$C$11)^2</f>
        <v>1233739.2422750301</v>
      </c>
      <c r="D14" s="13" t="s">
        <v>3</v>
      </c>
      <c r="E14" s="12">
        <f>E13*(1+'Fane 13. Nøgletal'!$C$11)^2</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E1DEsPdGWM0eBqErUDH/ISbxK9S2jJjfFErbX03AUQM5mngrwp1dUFaSanvhbNWCn09odP/9rZM7eOJIZ29dKw==" saltValue="wo4XeCrXq45DfRtr493jGg=="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6" t="s">
        <v>93</v>
      </c>
      <c r="C3" s="96"/>
      <c r="D3" s="96"/>
      <c r="E3" s="96"/>
      <c r="F3" s="96"/>
      <c r="G3" s="1"/>
    </row>
    <row r="4" spans="1:7" ht="15" customHeight="1" x14ac:dyDescent="0.25">
      <c r="A4" s="1"/>
      <c r="B4" s="96"/>
      <c r="C4" s="96"/>
      <c r="D4" s="96"/>
      <c r="E4" s="96"/>
      <c r="F4" s="96"/>
      <c r="G4" s="1"/>
    </row>
    <row r="5" spans="1:7" x14ac:dyDescent="0.25">
      <c r="A5" s="1"/>
      <c r="B5" s="96"/>
      <c r="C5" s="96"/>
      <c r="D5" s="96"/>
      <c r="E5" s="96"/>
      <c r="F5" s="96"/>
      <c r="G5" s="1"/>
    </row>
    <row r="6" spans="1:7" x14ac:dyDescent="0.25">
      <c r="A6" s="1"/>
      <c r="B6" s="1"/>
      <c r="C6" s="1"/>
      <c r="D6" s="1"/>
      <c r="E6" s="1"/>
      <c r="F6" s="1"/>
      <c r="G6" s="1"/>
    </row>
    <row r="7" spans="1:7" x14ac:dyDescent="0.25">
      <c r="A7" s="1"/>
      <c r="B7" s="1"/>
      <c r="C7" s="1"/>
      <c r="D7" s="1"/>
      <c r="E7" s="1"/>
      <c r="F7" s="1"/>
      <c r="G7" s="1"/>
    </row>
    <row r="8" spans="1:7" x14ac:dyDescent="0.25">
      <c r="A8" s="1"/>
      <c r="B8" s="98" t="s">
        <v>59</v>
      </c>
      <c r="C8" s="99"/>
      <c r="D8" s="99"/>
      <c r="E8" s="99"/>
      <c r="F8" s="100"/>
      <c r="G8" s="1"/>
    </row>
    <row r="9" spans="1:7" ht="15" customHeight="1" x14ac:dyDescent="0.25">
      <c r="A9" s="1"/>
      <c r="B9" s="54" t="s">
        <v>60</v>
      </c>
      <c r="C9" s="118" t="s">
        <v>10</v>
      </c>
      <c r="D9" s="119"/>
      <c r="E9" s="118" t="s">
        <v>26</v>
      </c>
      <c r="F9" s="119"/>
      <c r="G9" s="1"/>
    </row>
    <row r="10" spans="1:7" ht="26.25" x14ac:dyDescent="0.25">
      <c r="A10" s="1"/>
      <c r="B10" s="60" t="s">
        <v>190</v>
      </c>
      <c r="C10" s="9">
        <v>0</v>
      </c>
      <c r="D10" s="14" t="s">
        <v>3</v>
      </c>
      <c r="E10" s="9">
        <v>0</v>
      </c>
      <c r="F10" s="14" t="s">
        <v>3</v>
      </c>
      <c r="G10" s="1"/>
    </row>
    <row r="11" spans="1:7" ht="28.5" customHeight="1" x14ac:dyDescent="0.25">
      <c r="A11" s="1"/>
      <c r="B11" s="20" t="s">
        <v>115</v>
      </c>
      <c r="C11" s="12">
        <f>SUM(C10:C10)</f>
        <v>0</v>
      </c>
      <c r="D11" s="13" t="s">
        <v>3</v>
      </c>
      <c r="E11" s="12">
        <f>SUM(E10:E10)</f>
        <v>0</v>
      </c>
      <c r="F11" s="13" t="s">
        <v>3</v>
      </c>
      <c r="G11" s="1"/>
    </row>
    <row r="12" spans="1:7" ht="27" customHeight="1" x14ac:dyDescent="0.25">
      <c r="A12" s="1"/>
      <c r="B12" s="20" t="s">
        <v>151</v>
      </c>
      <c r="C12" s="12">
        <f>C11*(1+'Fane 13. Nøgletal'!C11)</f>
        <v>0</v>
      </c>
      <c r="D12" s="13" t="s">
        <v>3</v>
      </c>
      <c r="E12" s="12">
        <f>E11*(1+'Fane 13. Nøgletal'!C11)</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4BznFXBq/r9W1hlHpziHclk20RJX+SD8+bz3iadu0SE2ciTHXoBYtxV+SHgPKhLysTf3raVbF1NKEreR/K3AOw==" saltValue="ltWRIyPzaWUT4HmeiOcNfA=="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6" t="s">
        <v>94</v>
      </c>
      <c r="C3" s="96"/>
      <c r="D3" s="96"/>
      <c r="E3" s="96"/>
      <c r="F3" s="96"/>
      <c r="G3" s="1"/>
    </row>
    <row r="4" spans="1:7" ht="15" customHeight="1" x14ac:dyDescent="0.25">
      <c r="A4" s="1"/>
      <c r="B4" s="96"/>
      <c r="C4" s="96"/>
      <c r="D4" s="96"/>
      <c r="E4" s="96"/>
      <c r="F4" s="96"/>
      <c r="G4" s="1"/>
    </row>
    <row r="5" spans="1:7" x14ac:dyDescent="0.25">
      <c r="A5" s="1"/>
      <c r="B5" s="96"/>
      <c r="C5" s="96"/>
      <c r="D5" s="96"/>
      <c r="E5" s="96"/>
      <c r="F5" s="96"/>
      <c r="G5" s="1"/>
    </row>
    <row r="6" spans="1:7" x14ac:dyDescent="0.25">
      <c r="A6" s="1"/>
      <c r="B6" s="1"/>
      <c r="C6" s="1"/>
      <c r="D6" s="1"/>
      <c r="E6" s="1"/>
      <c r="F6" s="1"/>
      <c r="G6" s="1"/>
    </row>
    <row r="7" spans="1:7" ht="15" customHeight="1" x14ac:dyDescent="0.25">
      <c r="A7" s="1"/>
      <c r="B7" s="1"/>
      <c r="C7" s="1"/>
      <c r="D7" s="1"/>
      <c r="E7" s="1"/>
      <c r="F7" s="1"/>
      <c r="G7" s="1"/>
    </row>
    <row r="8" spans="1:7" x14ac:dyDescent="0.25">
      <c r="A8" s="1"/>
      <c r="B8" s="98" t="s">
        <v>152</v>
      </c>
      <c r="C8" s="99"/>
      <c r="D8" s="99"/>
      <c r="E8" s="99"/>
      <c r="F8" s="100"/>
      <c r="G8" s="1"/>
    </row>
    <row r="9" spans="1:7" x14ac:dyDescent="0.25">
      <c r="A9" s="1"/>
      <c r="B9" s="54" t="s">
        <v>16</v>
      </c>
      <c r="C9" s="51" t="s">
        <v>10</v>
      </c>
      <c r="D9" s="27"/>
      <c r="E9" s="51" t="s">
        <v>26</v>
      </c>
      <c r="F9" s="27"/>
      <c r="G9" s="1"/>
    </row>
    <row r="10" spans="1:7" x14ac:dyDescent="0.25">
      <c r="A10" s="1"/>
      <c r="B10" s="60" t="s">
        <v>191</v>
      </c>
      <c r="C10" s="9">
        <v>0</v>
      </c>
      <c r="D10" s="14" t="s">
        <v>3</v>
      </c>
      <c r="E10" s="9">
        <v>0</v>
      </c>
      <c r="F10" s="14" t="s">
        <v>3</v>
      </c>
      <c r="G10" s="1"/>
    </row>
    <row r="11" spans="1:7" x14ac:dyDescent="0.25">
      <c r="A11" s="1"/>
      <c r="B11" s="52" t="s">
        <v>122</v>
      </c>
      <c r="C11" s="12">
        <f>SUM(C10:C10)</f>
        <v>0</v>
      </c>
      <c r="D11" s="13" t="s">
        <v>3</v>
      </c>
      <c r="E11" s="12">
        <f>SUM(E10:E10)</f>
        <v>0</v>
      </c>
      <c r="F11" s="13" t="s">
        <v>3</v>
      </c>
      <c r="G11" s="1"/>
    </row>
    <row r="12" spans="1:7" x14ac:dyDescent="0.25">
      <c r="A12" s="1"/>
      <c r="B12" s="52" t="s">
        <v>189</v>
      </c>
      <c r="C12" s="12">
        <f>C11*(1+'Fane 13. Nøgletal'!C11)^2</f>
        <v>0</v>
      </c>
      <c r="D12" s="13" t="s">
        <v>3</v>
      </c>
      <c r="E12" s="12">
        <f>E11*(1+'Fane 13. Nøgletal'!C11)^2</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XiTEItZYVUqbQgvHVdyp/8PZmgAtOUslzXDu/IJ4EJ3gpLknPB8ah0RjBd9lSCBEvTPGc22+3zd7mwp+dubcw==" saltValue="n6a4XOq9ukkCB9eAsm+ZeA=="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5703125" style="38" customWidth="1"/>
    <col min="4" max="4" width="5.28515625" style="2" customWidth="1"/>
    <col min="5" max="16384" width="9.140625" style="2" hidden="1"/>
  </cols>
  <sheetData>
    <row r="1" spans="1:4" x14ac:dyDescent="0.25">
      <c r="A1" s="1"/>
      <c r="B1" s="1"/>
      <c r="C1" s="34"/>
      <c r="D1" s="1"/>
    </row>
    <row r="2" spans="1:4" x14ac:dyDescent="0.25">
      <c r="A2" s="1"/>
      <c r="B2" s="1"/>
      <c r="C2" s="34"/>
      <c r="D2" s="1"/>
    </row>
    <row r="3" spans="1:4" ht="15" customHeight="1" x14ac:dyDescent="0.25">
      <c r="A3" s="1"/>
      <c r="B3" s="96" t="s">
        <v>95</v>
      </c>
      <c r="C3" s="96"/>
      <c r="D3" s="1"/>
    </row>
    <row r="4" spans="1:4" ht="15" customHeight="1" x14ac:dyDescent="0.25">
      <c r="A4" s="1"/>
      <c r="B4" s="96"/>
      <c r="C4" s="96"/>
      <c r="D4" s="1"/>
    </row>
    <row r="5" spans="1:4" x14ac:dyDescent="0.25">
      <c r="A5" s="1"/>
      <c r="B5" s="1"/>
      <c r="C5" s="34"/>
      <c r="D5" s="1"/>
    </row>
    <row r="6" spans="1:4" x14ac:dyDescent="0.25">
      <c r="A6" s="1"/>
      <c r="B6" s="1"/>
      <c r="C6" s="34"/>
      <c r="D6" s="1"/>
    </row>
    <row r="7" spans="1:4" x14ac:dyDescent="0.25">
      <c r="A7" s="1"/>
      <c r="B7" s="1"/>
      <c r="C7" s="34"/>
      <c r="D7" s="1"/>
    </row>
    <row r="8" spans="1:4" x14ac:dyDescent="0.25">
      <c r="A8" s="1"/>
      <c r="B8" s="52" t="s">
        <v>13</v>
      </c>
      <c r="C8" s="35"/>
      <c r="D8" s="1"/>
    </row>
    <row r="9" spans="1:4" x14ac:dyDescent="0.25">
      <c r="A9" s="1"/>
      <c r="B9" s="43" t="s">
        <v>187</v>
      </c>
      <c r="C9" s="49">
        <v>3.56E-2</v>
      </c>
      <c r="D9" s="1"/>
    </row>
    <row r="10" spans="1:4" x14ac:dyDescent="0.25">
      <c r="A10" s="1"/>
      <c r="B10" s="43" t="s">
        <v>186</v>
      </c>
      <c r="C10" s="49">
        <v>8.0799999999999997E-2</v>
      </c>
      <c r="D10" s="1"/>
    </row>
    <row r="11" spans="1:4" x14ac:dyDescent="0.25">
      <c r="A11" s="1"/>
      <c r="B11" s="43" t="s">
        <v>194</v>
      </c>
      <c r="C11" s="49">
        <v>6.6299999999999998E-2</v>
      </c>
      <c r="D11" s="1"/>
    </row>
    <row r="12" spans="1:4" x14ac:dyDescent="0.25">
      <c r="A12" s="1"/>
      <c r="B12" s="98"/>
      <c r="C12" s="100"/>
      <c r="D12" s="1"/>
    </row>
    <row r="13" spans="1:4" x14ac:dyDescent="0.25">
      <c r="A13" s="1"/>
      <c r="B13" s="1"/>
      <c r="C13" s="34"/>
      <c r="D13" s="1"/>
    </row>
    <row r="14" spans="1:4" x14ac:dyDescent="0.25">
      <c r="A14" s="1"/>
      <c r="B14" s="1"/>
      <c r="C14" s="34"/>
      <c r="D14" s="1"/>
    </row>
    <row r="15" spans="1:4" x14ac:dyDescent="0.25">
      <c r="A15" s="1"/>
      <c r="B15" s="52" t="s">
        <v>44</v>
      </c>
      <c r="C15" s="35"/>
      <c r="D15" s="1"/>
    </row>
    <row r="16" spans="1:4" x14ac:dyDescent="0.25">
      <c r="A16" s="1"/>
      <c r="B16" s="43" t="s">
        <v>188</v>
      </c>
      <c r="C16" s="37">
        <v>0</v>
      </c>
      <c r="D16" s="1"/>
    </row>
    <row r="17" spans="1:4" x14ac:dyDescent="0.25">
      <c r="A17" s="1"/>
      <c r="B17" s="43" t="s">
        <v>111</v>
      </c>
      <c r="C17" s="37">
        <v>0</v>
      </c>
      <c r="D17" s="1"/>
    </row>
    <row r="18" spans="1:4" x14ac:dyDescent="0.25">
      <c r="A18" s="1"/>
      <c r="B18" s="43" t="s">
        <v>195</v>
      </c>
      <c r="C18" s="64">
        <v>0</v>
      </c>
      <c r="D18" s="1"/>
    </row>
    <row r="19" spans="1:4" x14ac:dyDescent="0.25">
      <c r="A19" s="1"/>
      <c r="B19" s="52"/>
      <c r="C19" s="35"/>
      <c r="D19" s="1"/>
    </row>
    <row r="20" spans="1:4" x14ac:dyDescent="0.25">
      <c r="A20" s="1"/>
      <c r="B20" s="1"/>
      <c r="C20" s="34"/>
      <c r="D20" s="1"/>
    </row>
    <row r="21" spans="1:4" x14ac:dyDescent="0.25">
      <c r="A21" s="1"/>
      <c r="B21" s="1"/>
      <c r="C21" s="34"/>
      <c r="D21" s="1"/>
    </row>
    <row r="22" spans="1:4" x14ac:dyDescent="0.25">
      <c r="A22" s="1"/>
      <c r="B22" s="52" t="s">
        <v>45</v>
      </c>
      <c r="C22" s="35"/>
      <c r="D22" s="1"/>
    </row>
    <row r="23" spans="1:4" x14ac:dyDescent="0.25">
      <c r="A23" s="1"/>
      <c r="B23" s="28" t="s">
        <v>56</v>
      </c>
      <c r="C23" s="36">
        <v>0.02</v>
      </c>
      <c r="D23" s="1"/>
    </row>
    <row r="24" spans="1:4" x14ac:dyDescent="0.25">
      <c r="A24" s="1"/>
      <c r="B24" s="52"/>
      <c r="C24" s="35"/>
      <c r="D24" s="1"/>
    </row>
    <row r="25" spans="1:4" x14ac:dyDescent="0.25">
      <c r="A25" s="1"/>
      <c r="B25" s="1"/>
      <c r="C25" s="34"/>
      <c r="D25" s="1"/>
    </row>
    <row r="26" spans="1:4" x14ac:dyDescent="0.25">
      <c r="A26" s="1"/>
      <c r="B26" s="1"/>
      <c r="C26" s="34"/>
      <c r="D26" s="1"/>
    </row>
    <row r="27" spans="1:4" x14ac:dyDescent="0.25">
      <c r="A27" s="1"/>
      <c r="B27" s="1"/>
      <c r="C27" s="34"/>
      <c r="D27" s="1"/>
    </row>
    <row r="28" spans="1:4" x14ac:dyDescent="0.25">
      <c r="A28" s="1"/>
      <c r="B28" s="1"/>
      <c r="C28" s="34"/>
      <c r="D28" s="1"/>
    </row>
    <row r="29" spans="1:4" x14ac:dyDescent="0.25">
      <c r="A29" s="1"/>
      <c r="B29" s="1"/>
      <c r="C29" s="34"/>
      <c r="D29" s="1"/>
    </row>
    <row r="30" spans="1:4" x14ac:dyDescent="0.25">
      <c r="A30" s="1"/>
      <c r="B30" s="1"/>
      <c r="C30" s="34"/>
      <c r="D30" s="1"/>
    </row>
    <row r="31" spans="1:4" x14ac:dyDescent="0.25">
      <c r="A31" s="1"/>
      <c r="B31" s="1"/>
      <c r="C31" s="34"/>
      <c r="D31" s="1"/>
    </row>
    <row r="32" spans="1:4" x14ac:dyDescent="0.25">
      <c r="A32" s="1"/>
      <c r="B32" s="1"/>
      <c r="C32" s="34"/>
      <c r="D32" s="1"/>
    </row>
    <row r="33" spans="1:4" x14ac:dyDescent="0.25">
      <c r="A33" s="1"/>
      <c r="B33" s="1"/>
      <c r="C33" s="34"/>
      <c r="D33" s="1"/>
    </row>
    <row r="34" spans="1:4" x14ac:dyDescent="0.25">
      <c r="A34" s="1"/>
      <c r="B34" s="1"/>
      <c r="C34" s="34"/>
      <c r="D34" s="1"/>
    </row>
    <row r="35" spans="1:4" x14ac:dyDescent="0.25">
      <c r="A35" s="1"/>
      <c r="B35" s="1"/>
      <c r="C35" s="34"/>
      <c r="D35" s="1"/>
    </row>
    <row r="36" spans="1:4" x14ac:dyDescent="0.25">
      <c r="A36" s="1"/>
      <c r="B36" s="1"/>
      <c r="C36" s="34"/>
      <c r="D36" s="1"/>
    </row>
    <row r="37" spans="1:4" x14ac:dyDescent="0.25">
      <c r="A37" s="1"/>
      <c r="B37" s="1"/>
      <c r="C37" s="34"/>
      <c r="D37" s="1"/>
    </row>
    <row r="38" spans="1:4" x14ac:dyDescent="0.25">
      <c r="A38" s="1"/>
      <c r="B38" s="1"/>
      <c r="C38" s="34"/>
      <c r="D38" s="1"/>
    </row>
    <row r="39" spans="1:4" x14ac:dyDescent="0.25">
      <c r="A39" s="1"/>
      <c r="B39" s="1"/>
      <c r="C39" s="34"/>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NyJAmd0bHhVgSYYZDRJG4+TAu9Kb4Au5YdbhUO6OnYRe0BMbcQp39YHq5dl6Q1t3BqkOVyLWHC4oPlTW3NDVag==" saltValue="C4xVj0l96H4pv7MOGe2gTQ=="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128</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52" t="s">
        <v>12</v>
      </c>
      <c r="C8" s="53"/>
      <c r="D8" s="19"/>
      <c r="E8" s="1"/>
    </row>
    <row r="9" spans="1:5" x14ac:dyDescent="0.25">
      <c r="A9" s="1"/>
      <c r="B9" s="55" t="s">
        <v>68</v>
      </c>
      <c r="C9" s="7">
        <f>'Fane 3. Omkostninger i ØR2024'!C20</f>
        <v>51986482.360082805</v>
      </c>
      <c r="D9" s="8" t="s">
        <v>3</v>
      </c>
      <c r="E9" s="1"/>
    </row>
    <row r="10" spans="1:5" ht="17.100000000000001" customHeight="1" x14ac:dyDescent="0.25">
      <c r="A10" s="1"/>
      <c r="B10" s="24" t="s">
        <v>32</v>
      </c>
      <c r="C10" s="7">
        <f>'Fane 10.1. Varige tillæg'!C18</f>
        <v>242298.54790000001</v>
      </c>
      <c r="D10" s="8" t="s">
        <v>3</v>
      </c>
      <c r="E10" s="1"/>
    </row>
    <row r="11" spans="1:5" ht="17.100000000000001" customHeight="1" x14ac:dyDescent="0.25">
      <c r="A11" s="1"/>
      <c r="B11" s="24" t="s">
        <v>33</v>
      </c>
      <c r="C11" s="9">
        <f>'Fane 10.1. Varige tillæg'!E18</f>
        <v>481213.72590000002</v>
      </c>
      <c r="D11" s="8" t="s">
        <v>3</v>
      </c>
      <c r="E11" s="1"/>
    </row>
    <row r="12" spans="1:5" ht="17.100000000000001" customHeight="1" x14ac:dyDescent="0.25">
      <c r="A12" s="1"/>
      <c r="B12" s="24" t="s">
        <v>24</v>
      </c>
      <c r="C12" s="9">
        <f>-'Fane 12. Bortfald'!C12</f>
        <v>0</v>
      </c>
      <c r="D12" s="8" t="s">
        <v>3</v>
      </c>
      <c r="E12" s="1"/>
    </row>
    <row r="13" spans="1:5" ht="17.100000000000001" customHeight="1" x14ac:dyDescent="0.25">
      <c r="A13" s="1"/>
      <c r="B13" s="24" t="s">
        <v>23</v>
      </c>
      <c r="C13" s="9">
        <f>-'Fane 12. Bortfald'!E12</f>
        <v>0</v>
      </c>
      <c r="D13" s="8" t="s">
        <v>3</v>
      </c>
      <c r="E13" s="1"/>
    </row>
    <row r="14" spans="1:5" ht="17.100000000000001" customHeight="1" x14ac:dyDescent="0.25">
      <c r="A14" s="1"/>
      <c r="B14" s="24" t="s">
        <v>61</v>
      </c>
      <c r="C14" s="9">
        <f>'Fane 11. Tilknyttet virksomhed'!C12</f>
        <v>0</v>
      </c>
      <c r="D14" s="8" t="s">
        <v>3</v>
      </c>
      <c r="E14" s="1"/>
    </row>
    <row r="15" spans="1:5" ht="17.100000000000001" customHeight="1" x14ac:dyDescent="0.25">
      <c r="A15" s="1"/>
      <c r="B15" s="24" t="s">
        <v>62</v>
      </c>
      <c r="C15" s="9">
        <f>'Fane 11. Tilknyttet virksomhed'!E12</f>
        <v>0</v>
      </c>
      <c r="D15" s="8" t="s">
        <v>3</v>
      </c>
      <c r="E15" s="1"/>
    </row>
    <row r="16" spans="1:5" ht="17.100000000000001" customHeight="1" x14ac:dyDescent="0.25">
      <c r="A16" s="1"/>
      <c r="B16" s="24" t="s">
        <v>17</v>
      </c>
      <c r="C16" s="9">
        <f>(SUM(C9:C11)+SUM(C14:C15))*'Fane 13. Nøgletal'!C11</f>
        <v>3494672.64422643</v>
      </c>
      <c r="D16" s="8" t="s">
        <v>3</v>
      </c>
      <c r="E16" s="1"/>
    </row>
    <row r="17" spans="1:5" ht="17.100000000000001" customHeight="1" x14ac:dyDescent="0.25">
      <c r="A17" s="1"/>
      <c r="B17" s="24" t="s">
        <v>9</v>
      </c>
      <c r="C17" s="9">
        <f>-SUM(C9:C16)*'Fane 5. Individuelt eff. krav'!C9</f>
        <v>-1124093.3455621847</v>
      </c>
      <c r="D17" s="8" t="s">
        <v>3</v>
      </c>
      <c r="E17" s="1"/>
    </row>
    <row r="18" spans="1:5" ht="17.100000000000001" customHeight="1" x14ac:dyDescent="0.25">
      <c r="A18" s="1"/>
      <c r="B18" s="24" t="s">
        <v>21</v>
      </c>
      <c r="C18" s="9">
        <f>-'Fane 4.1. Gen. krav - drift'!C17</f>
        <v>-387692.38223041868</v>
      </c>
      <c r="D18" s="8" t="s">
        <v>3</v>
      </c>
      <c r="E18" s="1"/>
    </row>
    <row r="19" spans="1:5" ht="17.100000000000001" customHeight="1" x14ac:dyDescent="0.25">
      <c r="A19" s="1"/>
      <c r="B19" s="24" t="s">
        <v>22</v>
      </c>
      <c r="C19" s="9">
        <f>-'Fane 4.2. Gen. krav - anlæg'!C17</f>
        <v>0</v>
      </c>
      <c r="D19" s="8" t="s">
        <v>3</v>
      </c>
      <c r="E19" s="1"/>
    </row>
    <row r="20" spans="1:5" ht="17.100000000000001" customHeight="1" x14ac:dyDescent="0.25">
      <c r="A20" s="1"/>
      <c r="B20" s="74" t="s">
        <v>19</v>
      </c>
      <c r="C20" s="10">
        <f>SUM(C9:C19)</f>
        <v>54692881.550316639</v>
      </c>
      <c r="D20" s="11" t="s">
        <v>3</v>
      </c>
      <c r="E20" s="1"/>
    </row>
    <row r="21" spans="1:5" ht="15" customHeight="1" x14ac:dyDescent="0.25">
      <c r="A21" s="1"/>
      <c r="B21" s="52" t="s">
        <v>11</v>
      </c>
      <c r="C21" s="53"/>
      <c r="D21" s="19"/>
      <c r="E21" s="1"/>
    </row>
    <row r="22" spans="1:5" ht="15" customHeight="1" x14ac:dyDescent="0.25">
      <c r="A22" s="1"/>
      <c r="B22" s="54" t="s">
        <v>11</v>
      </c>
      <c r="C22" s="10">
        <f>'Fane 6. Ikke-påvirkelige omk.'!C20</f>
        <v>22013516.815546941</v>
      </c>
      <c r="D22" s="11" t="s">
        <v>3</v>
      </c>
      <c r="E22" s="1"/>
    </row>
    <row r="23" spans="1:5" ht="15" customHeight="1" x14ac:dyDescent="0.25">
      <c r="A23" s="1"/>
      <c r="B23" s="52" t="s">
        <v>39</v>
      </c>
      <c r="C23" s="53"/>
      <c r="D23" s="19"/>
      <c r="E23" s="1"/>
    </row>
    <row r="24" spans="1:5" ht="15" customHeight="1" x14ac:dyDescent="0.25">
      <c r="A24" s="1"/>
      <c r="B24" s="24" t="s">
        <v>35</v>
      </c>
      <c r="C24" s="9">
        <f>'Fane 10.2. Engangstillæg'!C14</f>
        <v>1233739.2422750301</v>
      </c>
      <c r="D24" s="8" t="s">
        <v>3</v>
      </c>
      <c r="E24" s="1"/>
    </row>
    <row r="25" spans="1:5" ht="15" customHeight="1" x14ac:dyDescent="0.25">
      <c r="A25" s="1"/>
      <c r="B25" s="24" t="s">
        <v>36</v>
      </c>
      <c r="C25" s="9">
        <f>'Fane 10.2. Engangstillæg'!E14</f>
        <v>0</v>
      </c>
      <c r="D25" s="8" t="s">
        <v>3</v>
      </c>
      <c r="E25" s="1"/>
    </row>
    <row r="26" spans="1:5" ht="15" customHeight="1" x14ac:dyDescent="0.25">
      <c r="A26" s="1"/>
      <c r="B26" s="24" t="s">
        <v>79</v>
      </c>
      <c r="C26" s="9">
        <f>-C24*('Fane 13. Nøgletal'!C23+'Fane 5. Individuelt eff. krav'!C9)</f>
        <v>-49349.569691001205</v>
      </c>
      <c r="D26" s="8" t="s">
        <v>3</v>
      </c>
      <c r="E26" s="1"/>
    </row>
    <row r="27" spans="1:5" ht="15" customHeight="1" x14ac:dyDescent="0.25">
      <c r="A27" s="1"/>
      <c r="B27" s="24" t="s">
        <v>80</v>
      </c>
      <c r="C27" s="9">
        <f>-C25*('Fane 13. Nøgletal'!C18+'Fane 5. Individuelt eff. krav'!C9)</f>
        <v>0</v>
      </c>
      <c r="D27" s="8" t="s">
        <v>3</v>
      </c>
      <c r="E27" s="1"/>
    </row>
    <row r="28" spans="1:5" x14ac:dyDescent="0.25">
      <c r="A28" s="1"/>
      <c r="B28" s="74" t="s">
        <v>40</v>
      </c>
      <c r="C28" s="50">
        <f>SUM(C24:C27)</f>
        <v>1184389.6725840289</v>
      </c>
      <c r="D28" s="11" t="s">
        <v>3</v>
      </c>
      <c r="E28" s="1"/>
    </row>
    <row r="29" spans="1:5" ht="15" customHeight="1" x14ac:dyDescent="0.25">
      <c r="A29" s="1"/>
      <c r="B29" s="25" t="s">
        <v>65</v>
      </c>
      <c r="C29" s="53"/>
      <c r="D29" s="19"/>
      <c r="E29" s="1"/>
    </row>
    <row r="30" spans="1:5" x14ac:dyDescent="0.25">
      <c r="A30" s="1"/>
      <c r="B30" s="58" t="s">
        <v>66</v>
      </c>
      <c r="C30" s="10">
        <f>'Fane 7. Kontrol af ØR2023'!C30</f>
        <v>0</v>
      </c>
      <c r="D30" s="11" t="s">
        <v>3</v>
      </c>
      <c r="E30" s="1"/>
    </row>
    <row r="31" spans="1:5" x14ac:dyDescent="0.25">
      <c r="A31" s="1"/>
      <c r="B31" s="25" t="s">
        <v>70</v>
      </c>
      <c r="C31" s="53"/>
      <c r="D31" s="19"/>
      <c r="E31" s="1"/>
    </row>
    <row r="32" spans="1:5" x14ac:dyDescent="0.25">
      <c r="A32" s="1"/>
      <c r="B32" s="58" t="s">
        <v>71</v>
      </c>
      <c r="C32" s="10">
        <f>'Fane 8. Skattesagen'!C14</f>
        <v>0</v>
      </c>
      <c r="D32" s="11" t="s">
        <v>3</v>
      </c>
      <c r="E32" s="1"/>
    </row>
    <row r="33" spans="1:5" x14ac:dyDescent="0.25">
      <c r="A33" s="1"/>
      <c r="B33" s="52" t="s">
        <v>69</v>
      </c>
      <c r="C33" s="29">
        <f>SUM(C20,C22,C28,C30,C32)</f>
        <v>77890788.038447604</v>
      </c>
      <c r="D33" s="19" t="s">
        <v>3</v>
      </c>
      <c r="E33" s="1"/>
    </row>
    <row r="34" spans="1:5" x14ac:dyDescent="0.25">
      <c r="A34" s="1"/>
      <c r="B34" s="1" t="s">
        <v>82</v>
      </c>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hf0BpC2JlHZ5xb7Perxc2+t5rB5sI5Xc7BQ1NrIR6DM4LZLcpEe3aVFgbfkqS9FuTr558xu7w+VJ/o9I7wX/vQ==" saltValue="raUKY7Az3ikXtXaXWM6f5Q=="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129</v>
      </c>
      <c r="C3" s="94"/>
      <c r="D3" s="94"/>
      <c r="E3" s="1"/>
    </row>
    <row r="4" spans="1:5" ht="15" customHeight="1" x14ac:dyDescent="0.25">
      <c r="A4" s="1"/>
      <c r="B4" s="94"/>
      <c r="C4" s="94"/>
      <c r="D4" s="94"/>
      <c r="E4" s="1"/>
    </row>
    <row r="5" spans="1:5" x14ac:dyDescent="0.25">
      <c r="A5" s="1"/>
      <c r="B5" s="95"/>
      <c r="C5" s="95"/>
      <c r="D5" s="95"/>
      <c r="E5" s="1"/>
    </row>
    <row r="6" spans="1:5" x14ac:dyDescent="0.25">
      <c r="A6" s="1"/>
      <c r="B6" s="67"/>
      <c r="C6" s="67"/>
      <c r="D6" s="67"/>
      <c r="E6" s="1"/>
    </row>
    <row r="7" spans="1:5" x14ac:dyDescent="0.25">
      <c r="A7" s="1"/>
      <c r="B7" s="1"/>
      <c r="C7" s="1"/>
      <c r="D7" s="1"/>
      <c r="E7" s="1"/>
    </row>
    <row r="8" spans="1:5" x14ac:dyDescent="0.25">
      <c r="A8" s="1"/>
      <c r="B8" s="52" t="s">
        <v>12</v>
      </c>
      <c r="C8" s="53"/>
      <c r="D8" s="19"/>
      <c r="E8" s="1"/>
    </row>
    <row r="9" spans="1:5" ht="15" customHeight="1" x14ac:dyDescent="0.25">
      <c r="A9" s="1"/>
      <c r="B9" s="55" t="s">
        <v>72</v>
      </c>
      <c r="C9" s="7">
        <f>'Fane 2.1. Økonomisk ramme 2025'!C20</f>
        <v>54692881.550316639</v>
      </c>
      <c r="D9" s="8" t="s">
        <v>3</v>
      </c>
      <c r="E9" s="1"/>
    </row>
    <row r="10" spans="1:5" ht="15" customHeight="1" x14ac:dyDescent="0.25">
      <c r="A10" s="1"/>
      <c r="B10" s="47" t="s">
        <v>17</v>
      </c>
      <c r="C10" s="41">
        <f>C9*'Fane 13. Nøgletal'!C11</f>
        <v>3626138.046785993</v>
      </c>
      <c r="D10" s="8" t="s">
        <v>3</v>
      </c>
      <c r="E10" s="1"/>
    </row>
    <row r="11" spans="1:5" ht="15" customHeight="1" x14ac:dyDescent="0.25">
      <c r="A11" s="1"/>
      <c r="B11" s="47" t="s">
        <v>9</v>
      </c>
      <c r="C11" s="9">
        <f>-SUM(C9:C10)*'Fane 5. Individuelt eff. krav'!C9</f>
        <v>-1166380.3919420526</v>
      </c>
      <c r="D11" s="8" t="s">
        <v>3</v>
      </c>
      <c r="E11" s="1"/>
    </row>
    <row r="12" spans="1:5" ht="15" customHeight="1" x14ac:dyDescent="0.25">
      <c r="A12" s="1"/>
      <c r="B12" s="47" t="s">
        <v>21</v>
      </c>
      <c r="C12" s="9">
        <f>-'Fane 4.1. Gen. krav - drift'!C22</f>
        <v>-405128.45942884951</v>
      </c>
      <c r="D12" s="8" t="s">
        <v>3</v>
      </c>
      <c r="E12" s="1"/>
    </row>
    <row r="13" spans="1:5" ht="15" customHeight="1" x14ac:dyDescent="0.25">
      <c r="A13" s="1"/>
      <c r="B13" s="47" t="s">
        <v>22</v>
      </c>
      <c r="C13" s="9">
        <f>-'Fane 4.2. Gen. krav - anlæg'!C22</f>
        <v>0</v>
      </c>
      <c r="D13" s="8" t="s">
        <v>3</v>
      </c>
      <c r="E13" s="1"/>
    </row>
    <row r="14" spans="1:5" ht="15" customHeight="1" x14ac:dyDescent="0.25">
      <c r="A14" s="1"/>
      <c r="B14" s="51" t="s">
        <v>19</v>
      </c>
      <c r="C14" s="10">
        <f>SUM(C9:C13)</f>
        <v>56747510.745731734</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f>
        <v>23473012.980417702</v>
      </c>
      <c r="D16" s="11" t="s">
        <v>3</v>
      </c>
      <c r="E16" s="1"/>
    </row>
    <row r="17" spans="1:5" x14ac:dyDescent="0.25">
      <c r="A17" s="1"/>
      <c r="B17" s="25" t="s">
        <v>65</v>
      </c>
      <c r="C17" s="53"/>
      <c r="D17" s="19"/>
      <c r="E17" s="1"/>
    </row>
    <row r="18" spans="1:5" ht="15" customHeight="1" x14ac:dyDescent="0.25">
      <c r="A18" s="1"/>
      <c r="B18" s="45" t="s">
        <v>66</v>
      </c>
      <c r="C18" s="10">
        <f>'Fane 7. Kontrol af ØR2023'!C30</f>
        <v>0</v>
      </c>
      <c r="D18" s="11" t="s">
        <v>3</v>
      </c>
      <c r="E18" s="1"/>
    </row>
    <row r="19" spans="1:5" x14ac:dyDescent="0.25">
      <c r="A19" s="1"/>
      <c r="B19" s="25" t="s">
        <v>70</v>
      </c>
      <c r="C19" s="53"/>
      <c r="D19" s="19"/>
      <c r="E19" s="1"/>
    </row>
    <row r="20" spans="1:5" x14ac:dyDescent="0.25">
      <c r="A20" s="1"/>
      <c r="B20" s="58" t="s">
        <v>71</v>
      </c>
      <c r="C20" s="10">
        <f>'Fane 8. Skattesagen'!C15</f>
        <v>0</v>
      </c>
      <c r="D20" s="11" t="s">
        <v>3</v>
      </c>
      <c r="E20" s="1"/>
    </row>
    <row r="21" spans="1:5" x14ac:dyDescent="0.25">
      <c r="A21" s="1"/>
      <c r="B21" s="52" t="s">
        <v>73</v>
      </c>
      <c r="C21" s="12">
        <f>SUM(C14,C16,C18,C20)</f>
        <v>80220523.72614944</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wRypHMRv4LvrYytthZ2DxoUSiG2W1LoaGMyiYxaHgldm/nzxR2G4TwTRSwNkiDrI8r4Qxhd5zJN1gVRfyylz8w==" saltValue="Qkif9F5JLdVp1LPcDDB6G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130</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7"/>
      <c r="C6" s="67"/>
      <c r="D6" s="67"/>
      <c r="E6" s="1"/>
    </row>
    <row r="7" spans="1:5" x14ac:dyDescent="0.25">
      <c r="A7" s="1"/>
      <c r="B7" s="1"/>
      <c r="C7" s="1"/>
      <c r="D7" s="1"/>
      <c r="E7" s="1"/>
    </row>
    <row r="8" spans="1:5" x14ac:dyDescent="0.25">
      <c r="A8" s="1"/>
      <c r="B8" s="52" t="s">
        <v>12</v>
      </c>
      <c r="C8" s="53"/>
      <c r="D8" s="19"/>
      <c r="E8" s="1"/>
    </row>
    <row r="9" spans="1:5" ht="15" customHeight="1" x14ac:dyDescent="0.25">
      <c r="A9" s="1"/>
      <c r="B9" s="55" t="s">
        <v>108</v>
      </c>
      <c r="C9" s="7">
        <f>'Fane 2.2. Økonomisk ramme 2026'!C14</f>
        <v>56747510.745731734</v>
      </c>
      <c r="D9" s="8" t="s">
        <v>3</v>
      </c>
      <c r="E9" s="1"/>
    </row>
    <row r="10" spans="1:5" ht="15" customHeight="1" x14ac:dyDescent="0.25">
      <c r="A10" s="1"/>
      <c r="B10" s="47" t="s">
        <v>17</v>
      </c>
      <c r="C10" s="41">
        <f>C9*'Fane 13. Nøgletal'!C11</f>
        <v>3762359.9624420139</v>
      </c>
      <c r="D10" s="8" t="s">
        <v>3</v>
      </c>
      <c r="E10" s="1"/>
    </row>
    <row r="11" spans="1:5" ht="15" customHeight="1" x14ac:dyDescent="0.25">
      <c r="A11" s="1"/>
      <c r="B11" s="47" t="s">
        <v>9</v>
      </c>
      <c r="C11" s="9">
        <f>-SUM(C9:C10)*'Fane 5. Individuelt eff. krav'!C9</f>
        <v>-1210197.4141634749</v>
      </c>
      <c r="D11" s="8" t="s">
        <v>3</v>
      </c>
      <c r="E11" s="1"/>
    </row>
    <row r="12" spans="1:5" ht="15" customHeight="1" x14ac:dyDescent="0.25">
      <c r="A12" s="1"/>
      <c r="B12" s="47" t="s">
        <v>21</v>
      </c>
      <c r="C12" s="9">
        <f>-'Fane 4.1. Gen. krav - drift'!C27</f>
        <v>-423348.70676320256</v>
      </c>
      <c r="D12" s="8" t="s">
        <v>3</v>
      </c>
      <c r="E12" s="1"/>
    </row>
    <row r="13" spans="1:5" ht="15" customHeight="1" x14ac:dyDescent="0.25">
      <c r="A13" s="1"/>
      <c r="B13" s="47" t="s">
        <v>22</v>
      </c>
      <c r="C13" s="9">
        <f>-'Fane 4.2. Gen. krav - anlæg'!C27</f>
        <v>0</v>
      </c>
      <c r="D13" s="8" t="s">
        <v>3</v>
      </c>
      <c r="E13" s="1"/>
    </row>
    <row r="14" spans="1:5" ht="15" customHeight="1" x14ac:dyDescent="0.25">
      <c r="A14" s="1"/>
      <c r="B14" s="51" t="s">
        <v>19</v>
      </c>
      <c r="C14" s="10">
        <f>SUM(C9:C13)</f>
        <v>58876324.587247066</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Nøgletal'!C11)^2</f>
        <v>25029273.741019398</v>
      </c>
      <c r="D16" s="11" t="s">
        <v>3</v>
      </c>
      <c r="E16" s="1"/>
    </row>
    <row r="17" spans="1:5" x14ac:dyDescent="0.25">
      <c r="A17" s="1"/>
      <c r="B17" s="25" t="s">
        <v>65</v>
      </c>
      <c r="C17" s="53"/>
      <c r="D17" s="19"/>
      <c r="E17" s="1"/>
    </row>
    <row r="18" spans="1:5" ht="15" customHeight="1" x14ac:dyDescent="0.25">
      <c r="A18" s="1"/>
      <c r="B18" s="45" t="s">
        <v>66</v>
      </c>
      <c r="C18" s="10">
        <v>0</v>
      </c>
      <c r="D18" s="11" t="s">
        <v>3</v>
      </c>
      <c r="E18" s="1"/>
    </row>
    <row r="19" spans="1:5" x14ac:dyDescent="0.25">
      <c r="A19" s="1"/>
      <c r="B19" s="52" t="s">
        <v>70</v>
      </c>
      <c r="C19" s="53"/>
      <c r="D19" s="19"/>
      <c r="E19" s="1"/>
    </row>
    <row r="20" spans="1:5" x14ac:dyDescent="0.25">
      <c r="A20" s="1"/>
      <c r="B20" s="58" t="s">
        <v>71</v>
      </c>
      <c r="C20" s="10">
        <f>'Fane 8. Skattesagen'!C16</f>
        <v>0</v>
      </c>
      <c r="D20" s="11" t="s">
        <v>3</v>
      </c>
      <c r="E20" s="1"/>
    </row>
    <row r="21" spans="1:5" x14ac:dyDescent="0.25">
      <c r="A21" s="1"/>
      <c r="B21" s="52" t="s">
        <v>109</v>
      </c>
      <c r="C21" s="12">
        <f>SUM(C14,C16,C18,C20)</f>
        <v>83905598.328266472</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6PjgFoI8gtmfYtWt6qQnwBBT4LbhNbj15x02dQ4AEwgi/kDKXfttTiL/yjIPDsupeLbiw8xsj6J4KWGRpPfonQ==" saltValue="+yQYSbqspkLqNGirYcxDH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131</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7"/>
      <c r="C6" s="67"/>
      <c r="D6" s="67"/>
      <c r="E6" s="1"/>
    </row>
    <row r="7" spans="1:5" x14ac:dyDescent="0.25">
      <c r="A7" s="1"/>
      <c r="B7" s="1"/>
      <c r="C7" s="1"/>
      <c r="D7" s="1"/>
      <c r="E7" s="1"/>
    </row>
    <row r="8" spans="1:5" x14ac:dyDescent="0.25">
      <c r="A8" s="1"/>
      <c r="B8" s="52" t="s">
        <v>12</v>
      </c>
      <c r="C8" s="53"/>
      <c r="D8" s="19"/>
      <c r="E8" s="1"/>
    </row>
    <row r="9" spans="1:5" ht="15" customHeight="1" x14ac:dyDescent="0.25">
      <c r="A9" s="1"/>
      <c r="B9" s="55" t="s">
        <v>132</v>
      </c>
      <c r="C9" s="7">
        <f>'Fane 2.3. Økonomisk ramme 2027'!C14</f>
        <v>58876324.587247066</v>
      </c>
      <c r="D9" s="8" t="s">
        <v>3</v>
      </c>
      <c r="E9" s="1"/>
    </row>
    <row r="10" spans="1:5" ht="15" customHeight="1" x14ac:dyDescent="0.25">
      <c r="A10" s="1"/>
      <c r="B10" s="47" t="s">
        <v>17</v>
      </c>
      <c r="C10" s="9">
        <f>C9*'Fane 13. Nøgletal'!C11</f>
        <v>3903500.3201344805</v>
      </c>
      <c r="D10" s="8" t="s">
        <v>3</v>
      </c>
      <c r="E10" s="1"/>
    </row>
    <row r="11" spans="1:5" ht="15" customHeight="1" x14ac:dyDescent="0.25">
      <c r="A11" s="1"/>
      <c r="B11" s="47" t="s">
        <v>9</v>
      </c>
      <c r="C11" s="9">
        <f>-SUM(C9:C10)*'Fane 5. Individuelt eff. krav'!C9</f>
        <v>-1255596.4981476311</v>
      </c>
      <c r="D11" s="8" t="s">
        <v>3</v>
      </c>
      <c r="E11" s="1"/>
    </row>
    <row r="12" spans="1:5" ht="15" customHeight="1" x14ac:dyDescent="0.25">
      <c r="A12" s="1"/>
      <c r="B12" s="47" t="s">
        <v>21</v>
      </c>
      <c r="C12" s="9">
        <f>-'Fane 4.1. Gen. krav - drift'!C32</f>
        <v>-442388.39150117076</v>
      </c>
      <c r="D12" s="8" t="s">
        <v>3</v>
      </c>
      <c r="E12" s="1"/>
    </row>
    <row r="13" spans="1:5" ht="15" customHeight="1" x14ac:dyDescent="0.25">
      <c r="A13" s="1"/>
      <c r="B13" s="47" t="s">
        <v>22</v>
      </c>
      <c r="C13" s="9">
        <f>-'Fane 4.2. Gen. krav - anlæg'!C32</f>
        <v>0</v>
      </c>
      <c r="D13" s="8" t="s">
        <v>3</v>
      </c>
      <c r="E13" s="1"/>
    </row>
    <row r="14" spans="1:5" x14ac:dyDescent="0.25">
      <c r="A14" s="1"/>
      <c r="B14" s="51" t="s">
        <v>19</v>
      </c>
      <c r="C14" s="10">
        <f>SUM(C9:C13)</f>
        <v>61081840.017732747</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Nøgletal'!C11)^3</f>
        <v>26688714.590048984</v>
      </c>
      <c r="D16" s="11" t="s">
        <v>3</v>
      </c>
      <c r="E16" s="1"/>
    </row>
    <row r="17" spans="1:5" x14ac:dyDescent="0.25">
      <c r="A17" s="1"/>
      <c r="B17" s="25" t="s">
        <v>70</v>
      </c>
      <c r="C17" s="53"/>
      <c r="D17" s="19"/>
      <c r="E17" s="1"/>
    </row>
    <row r="18" spans="1:5" x14ac:dyDescent="0.25">
      <c r="A18" s="1"/>
      <c r="B18" s="58" t="s">
        <v>71</v>
      </c>
      <c r="C18" s="10">
        <f>'Fane 8. Skattesagen'!C17</f>
        <v>0</v>
      </c>
      <c r="D18" s="11" t="s">
        <v>3</v>
      </c>
      <c r="E18" s="1"/>
    </row>
    <row r="19" spans="1:5" x14ac:dyDescent="0.25">
      <c r="A19" s="1"/>
      <c r="B19" s="52" t="s">
        <v>133</v>
      </c>
      <c r="C19" s="12">
        <f>SUM(C14,C16,C18)</f>
        <v>87770554.607781738</v>
      </c>
      <c r="D19" s="13"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5+eqnj8c+McBHFIX3/fOmp71sD3VBnDuiXfyvVxgOuqkvEK1RRQb2OMgwaWKwTUOkpxt0s8hPBPTzZEzJcn7qA==" saltValue="BaCadiG+Jx6cZrFzasYHD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0"/>
  <sheetViews>
    <sheetView showGridLines="0" zoomScaleNormal="100" workbookViewId="0"/>
  </sheetViews>
  <sheetFormatPr defaultColWidth="0" defaultRowHeight="15" zeroHeight="1"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96" t="s">
        <v>134</v>
      </c>
      <c r="C3" s="96"/>
      <c r="D3" s="96"/>
      <c r="E3" s="1"/>
    </row>
    <row r="4" spans="1:5" ht="15" customHeight="1" x14ac:dyDescent="0.25">
      <c r="A4" s="1"/>
      <c r="B4" s="96"/>
      <c r="C4" s="96"/>
      <c r="D4" s="96"/>
      <c r="E4" s="1"/>
    </row>
    <row r="5" spans="1:5" ht="15" customHeight="1" x14ac:dyDescent="0.25">
      <c r="A5" s="1"/>
      <c r="B5" s="1"/>
      <c r="C5" s="1"/>
      <c r="D5" s="1"/>
      <c r="E5" s="1"/>
    </row>
    <row r="6" spans="1:5" ht="15" customHeight="1" x14ac:dyDescent="0.25">
      <c r="A6" s="1"/>
      <c r="B6" s="1"/>
      <c r="C6" s="1"/>
      <c r="D6" s="1"/>
      <c r="E6" s="1"/>
    </row>
    <row r="7" spans="1:5" x14ac:dyDescent="0.25">
      <c r="A7" s="1"/>
      <c r="B7" s="1"/>
      <c r="C7" s="1"/>
      <c r="D7" s="1"/>
      <c r="E7" s="1"/>
    </row>
    <row r="8" spans="1:5" x14ac:dyDescent="0.25">
      <c r="A8" s="1"/>
      <c r="B8" s="52" t="s">
        <v>135</v>
      </c>
      <c r="C8" s="53"/>
      <c r="D8" s="19"/>
      <c r="E8" s="1"/>
    </row>
    <row r="9" spans="1:5" x14ac:dyDescent="0.25">
      <c r="A9" s="1"/>
      <c r="B9" s="55" t="s">
        <v>63</v>
      </c>
      <c r="C9" s="7">
        <v>51447018.534227654</v>
      </c>
      <c r="D9" s="8" t="s">
        <v>3</v>
      </c>
      <c r="E9" s="1"/>
    </row>
    <row r="10" spans="1:5" x14ac:dyDescent="0.25">
      <c r="A10" s="1"/>
      <c r="B10" s="24" t="s">
        <v>32</v>
      </c>
      <c r="C10" s="7">
        <v>42371.683199999999</v>
      </c>
      <c r="D10" s="8" t="s">
        <v>3</v>
      </c>
      <c r="E10" s="1"/>
    </row>
    <row r="11" spans="1:5" ht="15" customHeight="1" x14ac:dyDescent="0.25">
      <c r="A11" s="1"/>
      <c r="B11" s="24" t="s">
        <v>33</v>
      </c>
      <c r="C11" s="9">
        <v>89411.3416</v>
      </c>
      <c r="D11" s="8" t="s">
        <v>3</v>
      </c>
      <c r="E11" s="1"/>
    </row>
    <row r="12" spans="1:5" ht="15" customHeight="1" x14ac:dyDescent="0.25">
      <c r="A12" s="1"/>
      <c r="B12" s="24" t="s">
        <v>24</v>
      </c>
      <c r="C12" s="9">
        <v>0</v>
      </c>
      <c r="D12" s="8" t="s">
        <v>3</v>
      </c>
      <c r="E12" s="1"/>
    </row>
    <row r="13" spans="1:5" x14ac:dyDescent="0.25">
      <c r="A13" s="1"/>
      <c r="B13" s="24" t="s">
        <v>23</v>
      </c>
      <c r="C13" s="9">
        <v>0</v>
      </c>
      <c r="D13" s="8" t="s">
        <v>3</v>
      </c>
      <c r="E13" s="1"/>
    </row>
    <row r="14" spans="1:5" x14ac:dyDescent="0.25">
      <c r="A14" s="1"/>
      <c r="B14" s="24" t="s">
        <v>61</v>
      </c>
      <c r="C14" s="9">
        <v>0</v>
      </c>
      <c r="D14" s="8" t="s">
        <v>3</v>
      </c>
      <c r="E14" s="1"/>
    </row>
    <row r="15" spans="1:5" x14ac:dyDescent="0.25">
      <c r="A15" s="1"/>
      <c r="B15" s="24" t="s">
        <v>62</v>
      </c>
      <c r="C15" s="9">
        <v>0</v>
      </c>
      <c r="D15" s="8" t="s">
        <v>3</v>
      </c>
      <c r="E15" s="1"/>
    </row>
    <row r="16" spans="1:5" x14ac:dyDescent="0.25">
      <c r="A16" s="1"/>
      <c r="B16" s="24" t="s">
        <v>17</v>
      </c>
      <c r="C16" s="9">
        <v>1842161.9282223445</v>
      </c>
      <c r="D16" s="8" t="s">
        <v>3</v>
      </c>
      <c r="E16" s="1"/>
    </row>
    <row r="17" spans="1:5" x14ac:dyDescent="0.25">
      <c r="A17" s="1"/>
      <c r="B17" s="24" t="s">
        <v>9</v>
      </c>
      <c r="C17" s="9">
        <v>-1068419.2697449999</v>
      </c>
      <c r="D17" s="8" t="s">
        <v>3</v>
      </c>
      <c r="E17" s="1"/>
    </row>
    <row r="18" spans="1:5" x14ac:dyDescent="0.25">
      <c r="A18" s="1"/>
      <c r="B18" s="24" t="s">
        <v>21</v>
      </c>
      <c r="C18" s="9">
        <v>-366061.85742219741</v>
      </c>
      <c r="D18" s="8" t="s">
        <v>3</v>
      </c>
      <c r="E18" s="1"/>
    </row>
    <row r="19" spans="1:5" x14ac:dyDescent="0.25">
      <c r="A19" s="1"/>
      <c r="B19" s="24" t="s">
        <v>22</v>
      </c>
      <c r="C19" s="9">
        <v>0</v>
      </c>
      <c r="D19" s="8" t="s">
        <v>3</v>
      </c>
      <c r="E19" s="1"/>
    </row>
    <row r="20" spans="1:5" x14ac:dyDescent="0.25">
      <c r="A20" s="1"/>
      <c r="B20" s="74" t="s">
        <v>19</v>
      </c>
      <c r="C20" s="10">
        <v>51986482.360082805</v>
      </c>
      <c r="D20" s="11" t="s">
        <v>3</v>
      </c>
      <c r="E20" s="1"/>
    </row>
    <row r="21" spans="1:5" x14ac:dyDescent="0.25">
      <c r="A21" s="1"/>
      <c r="B21" s="52" t="s">
        <v>11</v>
      </c>
      <c r="C21" s="53"/>
      <c r="D21" s="19"/>
      <c r="E21" s="1"/>
    </row>
    <row r="22" spans="1:5" x14ac:dyDescent="0.25">
      <c r="A22" s="1"/>
      <c r="B22" s="54" t="s">
        <v>11</v>
      </c>
      <c r="C22" s="10">
        <v>22521557.559316479</v>
      </c>
      <c r="D22" s="11" t="s">
        <v>3</v>
      </c>
      <c r="E22" s="1"/>
    </row>
    <row r="23" spans="1:5" x14ac:dyDescent="0.25">
      <c r="A23" s="1"/>
      <c r="B23" s="52" t="s">
        <v>39</v>
      </c>
      <c r="C23" s="53"/>
      <c r="D23" s="19"/>
      <c r="E23" s="1"/>
    </row>
    <row r="24" spans="1:5" ht="15" customHeight="1" x14ac:dyDescent="0.25">
      <c r="A24" s="1"/>
      <c r="B24" s="24" t="s">
        <v>35</v>
      </c>
      <c r="C24" s="9">
        <v>959926.06372095994</v>
      </c>
      <c r="D24" s="8" t="s">
        <v>3</v>
      </c>
      <c r="E24" s="1"/>
    </row>
    <row r="25" spans="1:5" ht="14.25" customHeight="1" x14ac:dyDescent="0.25">
      <c r="A25" s="1"/>
      <c r="B25" s="24" t="s">
        <v>36</v>
      </c>
      <c r="C25" s="9">
        <v>0</v>
      </c>
      <c r="D25" s="8" t="s">
        <v>3</v>
      </c>
      <c r="E25" s="1"/>
    </row>
    <row r="26" spans="1:5" ht="14.25" customHeight="1" x14ac:dyDescent="0.25">
      <c r="A26" s="1"/>
      <c r="B26" s="24" t="s">
        <v>79</v>
      </c>
      <c r="C26" s="9">
        <v>-38397.042548838399</v>
      </c>
      <c r="D26" s="8" t="s">
        <v>3</v>
      </c>
      <c r="E26" s="1"/>
    </row>
    <row r="27" spans="1:5" ht="14.25" customHeight="1" x14ac:dyDescent="0.25">
      <c r="A27" s="1"/>
      <c r="B27" s="24" t="s">
        <v>80</v>
      </c>
      <c r="C27" s="9">
        <v>0</v>
      </c>
      <c r="D27" s="8" t="s">
        <v>3</v>
      </c>
      <c r="E27" s="1"/>
    </row>
    <row r="28" spans="1:5" ht="14.25" customHeight="1" x14ac:dyDescent="0.25">
      <c r="A28" s="1"/>
      <c r="B28" s="74" t="s">
        <v>40</v>
      </c>
      <c r="C28" s="63">
        <v>921529.02117212152</v>
      </c>
      <c r="D28" s="11" t="s">
        <v>3</v>
      </c>
      <c r="E28" s="1"/>
    </row>
    <row r="29" spans="1:5" x14ac:dyDescent="0.25">
      <c r="A29" s="1"/>
      <c r="B29" s="25" t="s">
        <v>65</v>
      </c>
      <c r="C29" s="53"/>
      <c r="D29" s="19"/>
      <c r="E29" s="1"/>
    </row>
    <row r="30" spans="1:5" x14ac:dyDescent="0.25">
      <c r="A30" s="1"/>
      <c r="B30" s="58" t="s">
        <v>66</v>
      </c>
      <c r="C30" s="10">
        <v>0</v>
      </c>
      <c r="D30" s="11" t="s">
        <v>3</v>
      </c>
      <c r="E30" s="1"/>
    </row>
    <row r="31" spans="1:5" ht="15" customHeight="1" x14ac:dyDescent="0.25">
      <c r="A31" s="1"/>
      <c r="B31" s="25" t="s">
        <v>70</v>
      </c>
      <c r="C31" s="53"/>
      <c r="D31" s="19"/>
      <c r="E31" s="1"/>
    </row>
    <row r="32" spans="1:5" ht="15.6" customHeight="1" x14ac:dyDescent="0.25">
      <c r="A32" s="1"/>
      <c r="B32" s="58" t="s">
        <v>71</v>
      </c>
      <c r="C32" s="10">
        <v>0</v>
      </c>
      <c r="D32" s="11" t="s">
        <v>3</v>
      </c>
      <c r="E32" s="1"/>
    </row>
    <row r="33" spans="1:5" ht="15.6" customHeight="1" x14ac:dyDescent="0.25">
      <c r="A33" s="1"/>
      <c r="B33" s="52" t="s">
        <v>67</v>
      </c>
      <c r="C33" s="29">
        <v>75429568.940571412</v>
      </c>
      <c r="D33" s="19" t="s">
        <v>3</v>
      </c>
      <c r="E33" s="1"/>
    </row>
    <row r="34" spans="1:5" ht="30" customHeight="1" x14ac:dyDescent="0.25">
      <c r="A34" s="1"/>
      <c r="B34" s="97" t="s">
        <v>193</v>
      </c>
      <c r="C34" s="97"/>
      <c r="D34" s="97"/>
      <c r="E34" s="1"/>
    </row>
    <row r="35" spans="1:5" ht="27.75" customHeight="1"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P59rprxPVLDSVduSLUxL5RYO4joQcTVbQrUAPB8WYX4zfmej55DA9oKvX6Sq7luwm8WvGBcT4Sd6Mf+bpVv23A==" saltValue="h1GzJoQUK2dQVuXe4w9U1A==" spinCount="100000" sheet="1" objects="1" scenarios="1"/>
  <mergeCells count="2">
    <mergeCell ref="B3:D4"/>
    <mergeCell ref="B34:D3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33"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32"/>
      <c r="D2" s="1"/>
      <c r="E2" s="1"/>
    </row>
    <row r="3" spans="1:5" ht="15" customHeight="1" x14ac:dyDescent="0.25">
      <c r="A3" s="1"/>
      <c r="B3" s="96" t="s">
        <v>53</v>
      </c>
      <c r="C3" s="96"/>
      <c r="D3" s="96"/>
      <c r="E3" s="1"/>
    </row>
    <row r="4" spans="1:5" ht="15" customHeight="1" x14ac:dyDescent="0.25">
      <c r="A4" s="1"/>
      <c r="B4" s="96"/>
      <c r="C4" s="96"/>
      <c r="D4" s="96"/>
      <c r="E4" s="1"/>
    </row>
    <row r="5" spans="1:5" ht="15" customHeight="1" x14ac:dyDescent="0.25">
      <c r="A5" s="1"/>
      <c r="B5" s="96"/>
      <c r="C5" s="96"/>
      <c r="D5" s="96"/>
      <c r="E5" s="1"/>
    </row>
    <row r="6" spans="1:5" ht="15" customHeight="1" x14ac:dyDescent="0.25">
      <c r="A6" s="1"/>
      <c r="B6" s="68"/>
      <c r="C6" s="68"/>
      <c r="D6" s="68"/>
      <c r="E6" s="1"/>
    </row>
    <row r="7" spans="1:5" x14ac:dyDescent="0.25">
      <c r="A7" s="1"/>
      <c r="B7" s="1"/>
      <c r="C7" s="32"/>
      <c r="D7" s="1"/>
      <c r="E7" s="1"/>
    </row>
    <row r="8" spans="1:5" x14ac:dyDescent="0.25">
      <c r="A8" s="1"/>
      <c r="B8" s="98" t="s">
        <v>75</v>
      </c>
      <c r="C8" s="99"/>
      <c r="D8" s="100"/>
      <c r="E8" s="1"/>
    </row>
    <row r="9" spans="1:5" x14ac:dyDescent="0.25">
      <c r="A9" s="1"/>
      <c r="B9" s="56" t="s">
        <v>167</v>
      </c>
      <c r="C9" s="22">
        <v>18257297.555907309</v>
      </c>
      <c r="D9" s="14" t="s">
        <v>3</v>
      </c>
      <c r="E9" s="1"/>
    </row>
    <row r="10" spans="1:5" x14ac:dyDescent="0.25">
      <c r="A10" s="1"/>
      <c r="B10" s="56" t="s">
        <v>110</v>
      </c>
      <c r="C10" s="22">
        <f>('Fane 3. Omkostninger i ØR2024'!C10+'Fane 3. Omkostninger i ØR2024'!C12+'Fane 3. Omkostninger i ØR2024'!C14)*(1+'Fane 13. Nøgletal'!C10)</f>
        <v>45795.315202559999</v>
      </c>
      <c r="D10" s="14" t="s">
        <v>3</v>
      </c>
      <c r="E10" s="1"/>
    </row>
    <row r="11" spans="1:5" x14ac:dyDescent="0.25">
      <c r="A11" s="1"/>
      <c r="B11" s="56" t="s">
        <v>81</v>
      </c>
      <c r="C11" s="22">
        <f>C9*'Fane 13. Nøgletal'!C23+C10*'Fane 13. Nøgletal'!C23</f>
        <v>366061.85742219741</v>
      </c>
      <c r="D11" s="14" t="s">
        <v>3</v>
      </c>
      <c r="E11" s="1"/>
    </row>
    <row r="12" spans="1:5" x14ac:dyDescent="0.25">
      <c r="A12" s="1"/>
      <c r="B12" s="52"/>
      <c r="C12" s="31"/>
      <c r="D12" s="19"/>
      <c r="E12" s="1"/>
    </row>
    <row r="13" spans="1:5" x14ac:dyDescent="0.25">
      <c r="A13" s="1"/>
      <c r="B13" s="1"/>
      <c r="C13" s="32"/>
      <c r="D13" s="1"/>
      <c r="E13" s="1"/>
    </row>
    <row r="14" spans="1:5" x14ac:dyDescent="0.25">
      <c r="A14" s="1"/>
      <c r="B14" s="98" t="s">
        <v>153</v>
      </c>
      <c r="C14" s="99"/>
      <c r="D14" s="100"/>
      <c r="E14" s="1"/>
    </row>
    <row r="15" spans="1:5" x14ac:dyDescent="0.25">
      <c r="A15" s="1"/>
      <c r="B15" s="56" t="s">
        <v>168</v>
      </c>
      <c r="C15" s="22">
        <f>(C9+C10-C11)*(1+'Fane 13. Nøgletal'!C11)</f>
        <v>19126256.169895165</v>
      </c>
      <c r="D15" s="14" t="s">
        <v>3</v>
      </c>
      <c r="E15" s="1"/>
    </row>
    <row r="16" spans="1:5" x14ac:dyDescent="0.25">
      <c r="A16" s="1"/>
      <c r="B16" s="56" t="s">
        <v>154</v>
      </c>
      <c r="C16" s="22">
        <f>('Fane 2.1. Økonomisk ramme 2025'!C10+'Fane 2.1. Økonomisk ramme 2025'!C12+'Fane 2.1. Økonomisk ramme 2025'!C14)*(1+'Fane 13. Nøgletal'!C11)</f>
        <v>258362.94162577001</v>
      </c>
      <c r="D16" s="14" t="s">
        <v>3</v>
      </c>
      <c r="E16" s="1"/>
    </row>
    <row r="17" spans="1:5" x14ac:dyDescent="0.25">
      <c r="A17" s="1"/>
      <c r="B17" s="56" t="s">
        <v>155</v>
      </c>
      <c r="C17" s="22">
        <f>(C15+C16)*'Fane 13. Nøgletal'!C23</f>
        <v>387692.38223041868</v>
      </c>
      <c r="D17" s="14" t="s">
        <v>3</v>
      </c>
      <c r="E17" s="1"/>
    </row>
    <row r="18" spans="1:5" x14ac:dyDescent="0.25">
      <c r="A18" s="1"/>
      <c r="B18" s="52"/>
      <c r="C18" s="31"/>
      <c r="D18" s="19"/>
      <c r="E18" s="1"/>
    </row>
    <row r="19" spans="1:5" x14ac:dyDescent="0.25">
      <c r="A19" s="1"/>
      <c r="B19" s="1"/>
      <c r="C19" s="32"/>
      <c r="D19" s="1"/>
      <c r="E19" s="1"/>
    </row>
    <row r="20" spans="1:5" x14ac:dyDescent="0.25">
      <c r="A20" s="1"/>
      <c r="B20" s="98" t="s">
        <v>170</v>
      </c>
      <c r="C20" s="99"/>
      <c r="D20" s="100"/>
      <c r="E20" s="1"/>
    </row>
    <row r="21" spans="1:5" x14ac:dyDescent="0.25">
      <c r="A21" s="1"/>
      <c r="B21" s="56" t="s">
        <v>169</v>
      </c>
      <c r="C21" s="48">
        <f>(C15+C16-C17)*(1+'Fane 13. Nøgletal'!C11)</f>
        <v>20256422.971442476</v>
      </c>
      <c r="D21" s="14" t="s">
        <v>3</v>
      </c>
      <c r="E21" s="1"/>
    </row>
    <row r="22" spans="1:5" x14ac:dyDescent="0.25">
      <c r="A22" s="1"/>
      <c r="B22" s="56" t="s">
        <v>171</v>
      </c>
      <c r="C22" s="48">
        <f>(C21)*'Fane 13. Nøgletal'!C23</f>
        <v>405128.45942884951</v>
      </c>
      <c r="D22" s="14" t="s">
        <v>3</v>
      </c>
      <c r="E22" s="1"/>
    </row>
    <row r="23" spans="1:5" x14ac:dyDescent="0.25">
      <c r="A23" s="1"/>
      <c r="B23" s="52"/>
      <c r="C23" s="31"/>
      <c r="D23" s="19"/>
      <c r="E23" s="1"/>
    </row>
    <row r="24" spans="1:5" x14ac:dyDescent="0.25">
      <c r="A24" s="1"/>
      <c r="B24" s="1"/>
      <c r="C24" s="32"/>
      <c r="D24" s="1"/>
      <c r="E24" s="1"/>
    </row>
    <row r="25" spans="1:5" x14ac:dyDescent="0.25">
      <c r="A25" s="1"/>
      <c r="B25" s="98" t="s">
        <v>116</v>
      </c>
      <c r="C25" s="99"/>
      <c r="D25" s="100"/>
      <c r="E25" s="1"/>
    </row>
    <row r="26" spans="1:5" x14ac:dyDescent="0.25">
      <c r="A26" s="1"/>
      <c r="B26" s="56" t="s">
        <v>117</v>
      </c>
      <c r="C26" s="48">
        <f>(C21-C22)*(1+'Fane 13. Nøgletal'!C11)</f>
        <v>21167435.338160127</v>
      </c>
      <c r="D26" s="14" t="s">
        <v>3</v>
      </c>
      <c r="E26" s="1"/>
    </row>
    <row r="27" spans="1:5" x14ac:dyDescent="0.25">
      <c r="A27" s="1"/>
      <c r="B27" s="56" t="s">
        <v>118</v>
      </c>
      <c r="C27" s="48">
        <f>(C26)*'Fane 13. Nøgletal'!C23</f>
        <v>423348.70676320256</v>
      </c>
      <c r="D27" s="14" t="s">
        <v>3</v>
      </c>
      <c r="E27" s="1"/>
    </row>
    <row r="28" spans="1:5" x14ac:dyDescent="0.25">
      <c r="A28" s="1"/>
      <c r="B28" s="52"/>
      <c r="C28" s="42"/>
      <c r="D28" s="19"/>
      <c r="E28" s="1"/>
    </row>
    <row r="29" spans="1:5" x14ac:dyDescent="0.25">
      <c r="A29" s="1"/>
      <c r="B29" s="1"/>
      <c r="C29" s="32"/>
      <c r="D29" s="1"/>
      <c r="E29" s="1"/>
    </row>
    <row r="30" spans="1:5" x14ac:dyDescent="0.25">
      <c r="A30" s="1"/>
      <c r="B30" s="98" t="s">
        <v>136</v>
      </c>
      <c r="C30" s="99"/>
      <c r="D30" s="100"/>
      <c r="E30" s="1"/>
    </row>
    <row r="31" spans="1:5" x14ac:dyDescent="0.25">
      <c r="A31" s="1"/>
      <c r="B31" s="56" t="s">
        <v>137</v>
      </c>
      <c r="C31" s="48">
        <f>(C26-C27)*(1+'Fane 13. Nøgletal'!C11)</f>
        <v>22119419.575058538</v>
      </c>
      <c r="D31" s="14" t="s">
        <v>3</v>
      </c>
      <c r="E31" s="1"/>
    </row>
    <row r="32" spans="1:5" x14ac:dyDescent="0.25">
      <c r="A32" s="1"/>
      <c r="B32" s="56" t="s">
        <v>138</v>
      </c>
      <c r="C32" s="48">
        <f>(C31)*'Fane 13. Nøgletal'!C23</f>
        <v>442388.39150117076</v>
      </c>
      <c r="D32" s="14" t="s">
        <v>3</v>
      </c>
      <c r="E32" s="1"/>
    </row>
    <row r="33" spans="1:5" x14ac:dyDescent="0.25">
      <c r="A33" s="1"/>
      <c r="B33" s="52"/>
      <c r="C33" s="42"/>
      <c r="D33" s="19"/>
      <c r="E33" s="1"/>
    </row>
    <row r="34" spans="1:5" x14ac:dyDescent="0.25">
      <c r="A34" s="1"/>
      <c r="B34" s="1"/>
      <c r="C34" s="32"/>
      <c r="D34" s="1"/>
      <c r="E34" s="1"/>
    </row>
    <row r="35" spans="1:5" x14ac:dyDescent="0.25">
      <c r="A35" s="1"/>
      <c r="B35" s="1"/>
      <c r="C35" s="32"/>
      <c r="D35" s="1"/>
      <c r="E35" s="1"/>
    </row>
    <row r="36" spans="1:5" x14ac:dyDescent="0.25">
      <c r="A36" s="1"/>
      <c r="B36" s="1"/>
      <c r="C36" s="32"/>
      <c r="D36" s="1"/>
      <c r="E36" s="1"/>
    </row>
    <row r="37" spans="1:5" x14ac:dyDescent="0.25">
      <c r="A37" s="1"/>
      <c r="B37" s="1"/>
      <c r="C37" s="32"/>
      <c r="D37" s="1"/>
      <c r="E37" s="1"/>
    </row>
    <row r="38" spans="1:5" x14ac:dyDescent="0.25">
      <c r="A38" s="1"/>
      <c r="B38" s="1"/>
      <c r="C38" s="32"/>
      <c r="D38" s="1"/>
      <c r="E38" s="1"/>
    </row>
    <row r="39" spans="1:5" x14ac:dyDescent="0.25">
      <c r="A39" s="1"/>
      <c r="B39" s="1"/>
      <c r="C39" s="32"/>
      <c r="D39" s="1"/>
      <c r="E39" s="1"/>
    </row>
    <row r="40" spans="1:5" x14ac:dyDescent="0.25">
      <c r="A40" s="1"/>
      <c r="B40" s="1"/>
      <c r="C40" s="32"/>
      <c r="D40" s="1"/>
      <c r="E40" s="1"/>
    </row>
    <row r="41" spans="1:5" x14ac:dyDescent="0.25">
      <c r="A41" s="1"/>
      <c r="B41" s="1"/>
      <c r="C41" s="32"/>
      <c r="D41" s="1"/>
      <c r="E41" s="1"/>
    </row>
    <row r="42" spans="1:5" x14ac:dyDescent="0.25">
      <c r="A42" s="1"/>
      <c r="B42" s="1"/>
      <c r="C42" s="32"/>
      <c r="D42" s="1"/>
      <c r="E42" s="1"/>
    </row>
    <row r="43" spans="1:5" x14ac:dyDescent="0.25">
      <c r="A43" s="1"/>
      <c r="B43" s="1"/>
      <c r="C43" s="32"/>
      <c r="D43" s="1"/>
      <c r="E43" s="1"/>
    </row>
    <row r="44" spans="1:5" x14ac:dyDescent="0.25">
      <c r="A44" s="1"/>
      <c r="B44" s="1"/>
      <c r="C44" s="32"/>
      <c r="D44" s="1"/>
      <c r="E44" s="1"/>
    </row>
    <row r="45" spans="1:5" x14ac:dyDescent="0.25">
      <c r="A45" s="1"/>
      <c r="B45" s="1"/>
      <c r="C45" s="32"/>
      <c r="D45" s="1"/>
      <c r="E45" s="1"/>
    </row>
    <row r="46" spans="1:5" x14ac:dyDescent="0.25">
      <c r="A46" s="1"/>
      <c r="B46" s="1"/>
      <c r="C46" s="32"/>
      <c r="D46" s="1"/>
      <c r="E46" s="1"/>
    </row>
    <row r="47" spans="1:5" x14ac:dyDescent="0.25">
      <c r="A47" s="1"/>
      <c r="B47" s="1"/>
      <c r="C47" s="32"/>
      <c r="D47" s="1"/>
      <c r="E47" s="1"/>
    </row>
    <row r="48" spans="1:5" x14ac:dyDescent="0.25">
      <c r="A48" s="1"/>
      <c r="B48" s="1"/>
      <c r="C48" s="32"/>
      <c r="D48" s="1"/>
      <c r="E48" s="1"/>
    </row>
    <row r="49" spans="1:5" x14ac:dyDescent="0.25">
      <c r="A49" s="1"/>
      <c r="B49" s="1"/>
      <c r="C49" s="32"/>
      <c r="D49" s="1"/>
      <c r="E49" s="1"/>
    </row>
    <row r="50" spans="1:5" x14ac:dyDescent="0.25">
      <c r="A50" s="1"/>
      <c r="B50" s="1"/>
      <c r="C50" s="32"/>
      <c r="D50" s="1"/>
      <c r="E50" s="1"/>
    </row>
  </sheetData>
  <sheetProtection algorithmName="SHA-512" hashValue="28M1nnnI3PU5ny/29ItUmhlEHvxWhxWt7ToFtVThmPPvZbfvOFNjSD5E0o8cXI8n+r3zl2l89O8qazsUyvtAFA==" saltValue="EKIk4wBg3ALQQ5RvKxeiiA=="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5" zeroHeight="1" x14ac:dyDescent="0.25"/>
  <cols>
    <col min="1" max="1" width="5.28515625" style="2" customWidth="1"/>
    <col min="2" max="2" width="58"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x14ac:dyDescent="0.25">
      <c r="A3" s="1"/>
      <c r="B3" s="101" t="s">
        <v>54</v>
      </c>
      <c r="C3" s="102"/>
      <c r="D3" s="102"/>
      <c r="E3" s="1"/>
    </row>
    <row r="4" spans="1:5" ht="15" customHeight="1" x14ac:dyDescent="0.25">
      <c r="A4" s="1"/>
      <c r="B4" s="102"/>
      <c r="C4" s="102"/>
      <c r="D4" s="102"/>
      <c r="E4" s="1"/>
    </row>
    <row r="5" spans="1:5" ht="15" customHeight="1" x14ac:dyDescent="0.25">
      <c r="A5" s="1"/>
      <c r="B5" s="102"/>
      <c r="C5" s="102"/>
      <c r="D5" s="102"/>
      <c r="E5" s="1"/>
    </row>
    <row r="6" spans="1:5" ht="15" customHeight="1" x14ac:dyDescent="0.25">
      <c r="A6" s="1"/>
      <c r="B6" s="1"/>
      <c r="C6" s="1"/>
      <c r="D6" s="1"/>
      <c r="E6" s="1"/>
    </row>
    <row r="7" spans="1:5" ht="15" customHeight="1" x14ac:dyDescent="0.25">
      <c r="A7" s="1"/>
      <c r="B7" s="1"/>
      <c r="C7" s="1"/>
      <c r="D7" s="1"/>
      <c r="E7" s="1"/>
    </row>
    <row r="8" spans="1:5" x14ac:dyDescent="0.25">
      <c r="A8" s="1"/>
      <c r="B8" s="98" t="s">
        <v>76</v>
      </c>
      <c r="C8" s="99"/>
      <c r="D8" s="100"/>
      <c r="E8" s="1"/>
    </row>
    <row r="9" spans="1:5" x14ac:dyDescent="0.25">
      <c r="A9" s="1"/>
      <c r="B9" s="56" t="s">
        <v>162</v>
      </c>
      <c r="C9" s="48">
        <v>39719134.757259607</v>
      </c>
      <c r="D9" s="14" t="s">
        <v>3</v>
      </c>
      <c r="E9" s="1"/>
    </row>
    <row r="10" spans="1:5" x14ac:dyDescent="0.25">
      <c r="A10" s="1"/>
      <c r="B10" s="56" t="s">
        <v>113</v>
      </c>
      <c r="C10" s="48">
        <f>('Fane 3. Omkostninger i ØR2024'!C11+'Fane 3. Omkostninger i ØR2024'!C13+'Fane 3. Omkostninger i ØR2024'!C15)*(1+'Fane 13. Nøgletal'!C10)</f>
        <v>96635.778001279992</v>
      </c>
      <c r="D10" s="14" t="s">
        <v>3</v>
      </c>
      <c r="E10" s="1"/>
    </row>
    <row r="11" spans="1:5" x14ac:dyDescent="0.25">
      <c r="A11" s="1"/>
      <c r="B11" s="56" t="s">
        <v>114</v>
      </c>
      <c r="C11" s="48">
        <f>(C9)*'Fane 13. Nøgletal'!C16+C10*'Fane 13. Nøgletal'!C17</f>
        <v>0</v>
      </c>
      <c r="D11" s="14" t="s">
        <v>3</v>
      </c>
      <c r="E11" s="1"/>
    </row>
    <row r="12" spans="1:5" x14ac:dyDescent="0.25">
      <c r="A12" s="1"/>
      <c r="B12" s="52"/>
      <c r="C12" s="53"/>
      <c r="D12" s="19"/>
      <c r="E12" s="1"/>
    </row>
    <row r="13" spans="1:5" x14ac:dyDescent="0.25">
      <c r="A13" s="1"/>
      <c r="B13" s="1"/>
      <c r="C13" s="1"/>
      <c r="D13" s="1"/>
      <c r="E13" s="1"/>
    </row>
    <row r="14" spans="1:5" x14ac:dyDescent="0.25">
      <c r="A14" s="1"/>
      <c r="B14" s="98" t="s">
        <v>156</v>
      </c>
      <c r="C14" s="99"/>
      <c r="D14" s="100"/>
      <c r="E14" s="1"/>
    </row>
    <row r="15" spans="1:5" x14ac:dyDescent="0.25">
      <c r="A15" s="1"/>
      <c r="B15" s="56" t="s">
        <v>163</v>
      </c>
      <c r="C15" s="48">
        <f>(C9+C10-C11)*(1+'Fane 13. Nøgletal'!C11)</f>
        <v>42455556.121748686</v>
      </c>
      <c r="D15" s="14" t="s">
        <v>3</v>
      </c>
      <c r="E15" s="1"/>
    </row>
    <row r="16" spans="1:5" x14ac:dyDescent="0.25">
      <c r="A16" s="1"/>
      <c r="B16" s="56" t="s">
        <v>157</v>
      </c>
      <c r="C16" s="48">
        <f>('Fane 2.1. Økonomisk ramme 2025'!C11+'Fane 2.1. Økonomisk ramme 2025'!C13+'Fane 2.1. Økonomisk ramme 2025'!C15)*(1+'Fane 13. Nøgletal'!C11)</f>
        <v>513118.19592717005</v>
      </c>
      <c r="D16" s="14" t="s">
        <v>3</v>
      </c>
      <c r="E16" s="1"/>
    </row>
    <row r="17" spans="1:5" x14ac:dyDescent="0.25">
      <c r="A17" s="1"/>
      <c r="B17" s="56" t="s">
        <v>158</v>
      </c>
      <c r="C17" s="48">
        <f>(C15+C16)*'Fane 13. Nøgletal'!C18</f>
        <v>0</v>
      </c>
      <c r="D17" s="14" t="s">
        <v>3</v>
      </c>
      <c r="E17" s="1"/>
    </row>
    <row r="18" spans="1:5" x14ac:dyDescent="0.25">
      <c r="A18" s="1"/>
      <c r="B18" s="52"/>
      <c r="C18" s="53"/>
      <c r="D18" s="19"/>
      <c r="E18" s="1"/>
    </row>
    <row r="19" spans="1:5" x14ac:dyDescent="0.25">
      <c r="A19" s="1"/>
      <c r="B19" s="1"/>
      <c r="C19" s="1"/>
      <c r="D19" s="1"/>
      <c r="E19" s="1"/>
    </row>
    <row r="20" spans="1:5" x14ac:dyDescent="0.25">
      <c r="A20" s="1"/>
      <c r="B20" s="98" t="s">
        <v>166</v>
      </c>
      <c r="C20" s="99"/>
      <c r="D20" s="100"/>
      <c r="E20" s="1"/>
    </row>
    <row r="21" spans="1:5" x14ac:dyDescent="0.25">
      <c r="A21" s="1"/>
      <c r="B21" s="56" t="s">
        <v>164</v>
      </c>
      <c r="C21" s="48">
        <f>(C15+C16-C17)*(1+'Fane 13. Nøgletal'!C11)</f>
        <v>45817497.42493777</v>
      </c>
      <c r="D21" s="14" t="s">
        <v>3</v>
      </c>
      <c r="E21" s="1"/>
    </row>
    <row r="22" spans="1:5" x14ac:dyDescent="0.25">
      <c r="A22" s="1"/>
      <c r="B22" s="56" t="s">
        <v>165</v>
      </c>
      <c r="C22" s="48">
        <f>(C21)*'Fane 13. Nøgletal'!C18</f>
        <v>0</v>
      </c>
      <c r="D22" s="14" t="s">
        <v>3</v>
      </c>
      <c r="E22" s="1"/>
    </row>
    <row r="23" spans="1:5" x14ac:dyDescent="0.25">
      <c r="A23" s="1"/>
      <c r="B23" s="52"/>
      <c r="C23" s="53"/>
      <c r="D23" s="19"/>
      <c r="E23" s="1"/>
    </row>
    <row r="24" spans="1:5" x14ac:dyDescent="0.25">
      <c r="A24" s="1"/>
      <c r="B24" s="1"/>
      <c r="C24" s="1"/>
      <c r="D24" s="1"/>
      <c r="E24" s="1"/>
    </row>
    <row r="25" spans="1:5" x14ac:dyDescent="0.25">
      <c r="A25" s="1"/>
      <c r="B25" s="98" t="s">
        <v>119</v>
      </c>
      <c r="C25" s="99"/>
      <c r="D25" s="100"/>
      <c r="E25" s="1"/>
    </row>
    <row r="26" spans="1:5" x14ac:dyDescent="0.25">
      <c r="A26" s="1"/>
      <c r="B26" s="56" t="s">
        <v>120</v>
      </c>
      <c r="C26" s="48">
        <f>(C21-C22)*(1+'Fane 13. Nøgletal'!C11)</f>
        <v>48855197.504211143</v>
      </c>
      <c r="D26" s="14" t="s">
        <v>3</v>
      </c>
      <c r="E26" s="1"/>
    </row>
    <row r="27" spans="1:5" x14ac:dyDescent="0.25">
      <c r="A27" s="1"/>
      <c r="B27" s="56" t="s">
        <v>121</v>
      </c>
      <c r="C27" s="48">
        <f>(C26)*'Fane 13. Nøgletal'!C18</f>
        <v>0</v>
      </c>
      <c r="D27" s="14" t="s">
        <v>3</v>
      </c>
      <c r="E27" s="1"/>
    </row>
    <row r="28" spans="1:5" x14ac:dyDescent="0.25">
      <c r="A28" s="1"/>
      <c r="B28" s="52"/>
      <c r="C28" s="53"/>
      <c r="D28" s="19"/>
      <c r="E28" s="1"/>
    </row>
    <row r="29" spans="1:5" x14ac:dyDescent="0.25">
      <c r="A29" s="1"/>
      <c r="B29" s="1"/>
      <c r="C29" s="1"/>
      <c r="D29" s="1"/>
      <c r="E29" s="1"/>
    </row>
    <row r="30" spans="1:5" x14ac:dyDescent="0.25">
      <c r="A30" s="1"/>
      <c r="B30" s="98" t="s">
        <v>139</v>
      </c>
      <c r="C30" s="99"/>
      <c r="D30" s="100"/>
      <c r="E30" s="1"/>
    </row>
    <row r="31" spans="1:5" x14ac:dyDescent="0.25">
      <c r="A31" s="1"/>
      <c r="B31" s="56" t="s">
        <v>140</v>
      </c>
      <c r="C31" s="48">
        <f>(C26-C27)*(1+'Fane 13. Nøgletal'!C11)</f>
        <v>52094297.098740339</v>
      </c>
      <c r="D31" s="14" t="s">
        <v>3</v>
      </c>
      <c r="E31" s="1"/>
    </row>
    <row r="32" spans="1:5" x14ac:dyDescent="0.25">
      <c r="A32" s="1"/>
      <c r="B32" s="56" t="s">
        <v>141</v>
      </c>
      <c r="C32" s="48">
        <f>(C31)*'Fane 13. Nøgletal'!C18</f>
        <v>0</v>
      </c>
      <c r="D32" s="14" t="s">
        <v>3</v>
      </c>
      <c r="E32" s="1"/>
    </row>
    <row r="33" spans="1:5" x14ac:dyDescent="0.25">
      <c r="A33" s="1"/>
      <c r="B33" s="52"/>
      <c r="C33" s="53"/>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xnbje5gzv2hqDBDiFfGdPH2JQ0AYphxOel9oWMq7aceYJ0jogq5NrrkWuX5Rz5FsEXH3ySah2S7mPXsFyPdvnA==" saltValue="vRf+8fHtDA6VVr6Ltr6j8Q=="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94" t="s">
        <v>41</v>
      </c>
      <c r="C3" s="94"/>
      <c r="D3" s="1"/>
    </row>
    <row r="4" spans="1:4" ht="15" customHeight="1" x14ac:dyDescent="0.25">
      <c r="A4" s="1"/>
      <c r="B4" s="94"/>
      <c r="C4" s="9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98" t="s">
        <v>9</v>
      </c>
      <c r="C8" s="100"/>
      <c r="D8" s="1"/>
    </row>
    <row r="9" spans="1:4" x14ac:dyDescent="0.25">
      <c r="A9" s="1"/>
      <c r="B9" s="56" t="s">
        <v>160</v>
      </c>
      <c r="C9" s="44">
        <v>0.02</v>
      </c>
      <c r="D9" s="1"/>
    </row>
    <row r="10" spans="1:4" x14ac:dyDescent="0.25">
      <c r="A10" s="1"/>
      <c r="B10" s="52"/>
      <c r="C10" s="19"/>
      <c r="D10" s="1"/>
    </row>
    <row r="11" spans="1:4" ht="15" customHeight="1" x14ac:dyDescent="0.25">
      <c r="A11" s="1"/>
      <c r="B11" s="103" t="s">
        <v>161</v>
      </c>
      <c r="C11" s="104"/>
      <c r="D11" s="1"/>
    </row>
    <row r="12" spans="1:4" ht="13.5" customHeight="1" x14ac:dyDescent="0.25">
      <c r="A12" s="1"/>
      <c r="B12" s="105"/>
      <c r="C12" s="106"/>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ht="15" customHeight="1"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6O9ECLfA/KzDJWFhOkH1/46LxIHBG87fIV7izT28sgRmjQDkN18M2/icWgdN6jhLimML9RU9eMWUuj1U92jB0g==" saltValue="LHAvObL0FFx9svnr07cRDw=="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2024-09-04T07:49:25Z</dcterms:modified>
</cp:coreProperties>
</file>