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Denne_projektmappe" defaultThemeVersion="124226"/>
  <mc:AlternateContent xmlns:mc="http://schemas.openxmlformats.org/markup-compatibility/2006">
    <mc:Choice Requires="x15">
      <x15ac:absPath xmlns:x15ac="http://schemas.microsoft.com/office/spreadsheetml/2010/11/ac" url="E:\VAND\Sagsbehandling\Spildevand\Herning Vand AS (S038)\ØR2025\"/>
    </mc:Choice>
  </mc:AlternateContent>
  <xr:revisionPtr revIDLastSave="0" documentId="13_ncr:1_{3DB1DF91-C90E-4654-A1E2-CFAFF50D7C69}"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31" i="37"/>
  <c r="C32" i="37" s="1"/>
  <c r="C10" i="2" l="1"/>
  <c r="C16" i="30" l="1"/>
  <c r="C17" i="30" s="1"/>
  <c r="C21" i="30" l="1"/>
  <c r="C22" i="30" s="1"/>
  <c r="C18" i="2"/>
  <c r="E31" i="37"/>
  <c r="E32"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<sst xmlns="http://schemas.openxmlformats.org/spreadsheetml/2006/main" count="592" uniqueCount="254">
  <si>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</si>
  <si>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</si>
  <si>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</si>
  <si>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</si>
  <si>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</si>
  <si>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</si>
  <si>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</si>
  <si>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</si>
  <si>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</si>
  <si>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</si>
  <si>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</si>
  <si>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</si>
  <si>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</si>
  <si>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</si>
  <si>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</si>
  <si>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</si>
  <si>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</si>
  <si>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</si>
  <si>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</si>
  <si>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</si>
  <si>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</si>
  <si>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</si>
  <si>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</si>
  <si>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</si>
  <si>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</si>
  <si>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</si>
  <si>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</si>
  <si>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</si>
  <si>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</si>
  <si>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</si>
  <si>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</si>
  <si>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</si>
  <si>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</si>
  <si>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</si>
  <si>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</si>
  <si>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</si>
  <si>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</si>
  <si>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</si>
  <si>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Drift</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</si>
  <si>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</si>
  <si>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</si>
  <si>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</si>
  <si>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</si>
  <si>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</si>
  <si>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</si>
  <si>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</si>
  <si>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</si>
  <si>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</si>
  <si>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</si>
  <si>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</si>
  <si>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</si>
  <si>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</si>
  <si>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</si>
  <si>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</si>
  <si>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</si>
  <si>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</si>
  <si>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</si>
  <si>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</si>
  <si>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</si>
  <si>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</si>
  <si>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</si>
  <si>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</si>
  <si>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</si>
  <si>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</si>
  <si>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</si>
  <si>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</si>
  <si>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</si>
  <si>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</si>
  <si>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</si>
  <si>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</si>
  <si>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</si>
  <si>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</si>
  <si>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</si>
  <si>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</si>
  <si>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</si>
  <si>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</si>
  <si>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</si>
  <si>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</si>
  <si>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</si>
  <si>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</si>
  <si>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</si>
  <si>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</si>
  <si>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</si>
  <si>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</si>
  <si>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</si>
  <si>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</si>
  <si>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</si>
  <si>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</si>
  <si>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</si>
  <si>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</si>
  <si>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</si>
  <si>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</si>
  <si>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</si>
  <si>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</si>
  <si>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</si>
  <si>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</si>
  <si>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</si>
  <si>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</si>
  <si>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</si>
  <si>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</si>
  <si>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</si>
  <si>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</si>
  <si>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</si>
  <si>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</si>
  <si>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</si>
  <si>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</si>
  <si>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</si>
  <si>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</si>
  <si>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</si>
  <si>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</si>
  <si>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</si>
  <si>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</si>
  <si>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</si>
  <si>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</si>
  <si>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</si>
  <si>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</si>
  <si>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</si>
  <si>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</si>
  <si>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</si>
  <si>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</si>
  <si>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</si>
  <si>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</si>
  <si>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</si>
  <si>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</si>
  <si>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</si>
  <si>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</si>
  <si>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</si>
  <si>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</si>
  <si>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</si>
  <si>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</si>
  <si>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</si>
  <si>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</si>
  <si>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</si>
  <si>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</si>
  <si>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</si>
  <si>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</si>
  <si>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</si>
  <si>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</si>
  <si>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</si>
  <si>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</si>
  <si>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</si>
  <si>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</si>
  <si>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</si>
  <si>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</si>
  <si>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</si>
  <si>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</si>
  <si>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</si>
  <si>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</si>
  <si>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</si>
  <si>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</si>
  <si>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</si>
  <si>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</si>
  <si>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</si>
  <si>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</si>
  <si>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</si>
  <si>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</si>
  <si>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</si>
  <si>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</si>
  <si>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</si>
  <si>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</si>
  <si>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</si>
  <si>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</si>
  <si>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</si>
  <si>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</si>
  <si>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</si>
  <si>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</si>
  <si>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</si>
  <si>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</si>
  <si>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</si>
  <si>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</si>
  <si>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</si>
  <si>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</si>
  <si>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</si>
  <si>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</si>
  <si>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</si>
  <si>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</si>
  <si>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</si>
  <si>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</si>
  <si>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</si>
  <si>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</si>
  <si>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</si>
  <si>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</si>
  <si>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</si>
  <si>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</si>
  <si>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</si>
  <si>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</si>
  <si>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</si>
  <si>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</si>
  <si>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</si>
  <si>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</si>
  <si>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</si>
  <si>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</si>
  <si>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</si>
  <si>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</si>
  <si>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</si>
  <si>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</si>
  <si>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</si>
  <si>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</si>
  <si>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</si>
  <si>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</si>
  <si>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</si>
  <si>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</si>
  <si>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</si>
  <si>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</si>
  <si>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</si>
  <si>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</si>
  <si>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</si>
  <si>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</si>
  <si>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</si>
  <si>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</si>
  <si>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</si>
  <si>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</si>
  <si>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</si>
  <si>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</si>
  <si>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</si>
  <si>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</si>
  <si>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</si>
  <si>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</si>
  <si>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</si>
  <si>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</si>
  <si>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</si>
  <si>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</si>
  <si>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</si>
  <si>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</si>
  <si>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</si>
  <si>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</si>
  <si>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Effektiviseringskrav (generelt og individuelt) –  Drift</t>
  </si>
  <si>
    <t>Effektiviseringskrav (generelt og individuelt) –  Anlæg</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</si>
  <si>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</si>
  <si>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</si>
  <si>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</si>
  <si>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Køb af ydelser og produkter fra andre vandselskaber reguleret af vandsektorloven</t>
  </si>
  <si>
    <t>Ejendomsskatter</t>
  </si>
  <si>
    <t>Erstatninger</t>
  </si>
  <si>
    <t>Til statusmeddelelse for 2025</t>
  </si>
  <si>
    <t>SALERE0037 Sørvad separering etape 2</t>
  </si>
  <si>
    <t>SALERE0071 Sinding Hovedgade mm</t>
  </si>
  <si>
    <t>SALERE0073 Mindegade</t>
  </si>
  <si>
    <t>SALERE0077 Egetæpper Silkeborgvej Fastrupvej Hammerum</t>
  </si>
  <si>
    <t>SABYGM0064 - Langvad Enge, byggemodning</t>
  </si>
  <si>
    <t>SABYGM0065 - Brændgårdvej, 6. etaper</t>
  </si>
  <si>
    <t>SABYGM0078 - Åbjergvænget, Vildbjerg 2. etape</t>
  </si>
  <si>
    <t>SABYGM0079 - Byggemodning Herning Turist Fastrupdalen</t>
  </si>
  <si>
    <t>SABYGM0080 - Byggemodning Nørretanderupvej</t>
  </si>
  <si>
    <t>SABYGM0087 - Fuglsang Allé, Byggemodning</t>
  </si>
  <si>
    <t>SABYGM0093 - Nyt forsyningsområde Møltrup Optagelseshjem</t>
  </si>
  <si>
    <t>SABYGM0095 - Gødstrup, etablering af nyt hotel</t>
  </si>
  <si>
    <t>SABYGM0097 - Håndværkerkollegiet</t>
  </si>
  <si>
    <t>SABYGM0104 - Udstykning, Holing Knude, Herning</t>
  </si>
  <si>
    <t>SABYGM0107 - Byggemodning Knuthenborgvej 19</t>
  </si>
  <si>
    <t>SABYGM0110 - Diverse byggemodninger u. 200.000 2023</t>
  </si>
  <si>
    <t>SABYGM0113 - Thorupvej 27B - Sunds - Byggemodning</t>
  </si>
  <si>
    <t>Periodevise driftsomkostninger - Bassin Y05RRB1</t>
  </si>
  <si>
    <t>Periodevise driftsomkostninger – Sandfang Børglumvej og Miljøvej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</si>
</sst>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5">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3" fontId="15" fillId="8" borderId="1" xfId="0"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4" xfId="0" applyFont="1" applyFill="1" applyBorder="1" applyAlignment="1" applyProtection="1">
      <alignment horizontal="lef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wrapText="1"/>
    </xf>
    <xf numFmtId="0" fontId="7" fillId="3" borderId="6"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8" fillId="0" borderId="1" xfId="0" applyFont="1" applyBorder="1" applyAlignment="1" applyProtection="1">
      <alignmen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6" t="s">
        <v>4</v>
      </c>
      <c r="D6" s="96"/>
      <c r="E6" s="96"/>
      <c r="F6" s="96"/>
      <c r="G6" s="3"/>
    </row>
    <row r="7" spans="1:7" ht="15" customHeight="1" x14ac:dyDescent="0.25">
      <c r="A7" s="1"/>
      <c r="B7" s="3"/>
      <c r="C7" s="96"/>
      <c r="D7" s="96"/>
      <c r="E7" s="96"/>
      <c r="F7" s="96"/>
      <c r="G7" s="3"/>
    </row>
    <row r="8" spans="1:7" ht="15.75" x14ac:dyDescent="0.25">
      <c r="A8" s="1"/>
      <c r="B8" s="4"/>
      <c r="C8" s="101" t="s">
        <v>234</v>
      </c>
      <c r="D8" s="101"/>
      <c r="E8" s="101"/>
      <c r="F8" s="101"/>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100" t="s">
        <v>5</v>
      </c>
      <c r="D11" s="100"/>
      <c r="E11" s="100"/>
      <c r="F11" s="100"/>
      <c r="G11" s="5"/>
    </row>
    <row r="12" spans="1:7" x14ac:dyDescent="0.25">
      <c r="A12" s="1"/>
      <c r="B12" s="1"/>
      <c r="C12" s="1"/>
      <c r="D12" s="1"/>
      <c r="E12" s="1"/>
      <c r="F12" s="1"/>
      <c r="G12" s="5"/>
    </row>
    <row r="13" spans="1:7" x14ac:dyDescent="0.25">
      <c r="A13" s="1"/>
      <c r="B13" s="6" t="s">
        <v>6</v>
      </c>
      <c r="C13" s="102" t="s">
        <v>128</v>
      </c>
      <c r="D13" s="103"/>
      <c r="E13" s="103"/>
      <c r="F13" s="104"/>
      <c r="G13" s="5"/>
    </row>
    <row r="14" spans="1:7" x14ac:dyDescent="0.25">
      <c r="A14" s="1"/>
      <c r="B14" s="6" t="s">
        <v>16</v>
      </c>
      <c r="C14" s="93" t="s">
        <v>187</v>
      </c>
      <c r="D14" s="94"/>
      <c r="E14" s="94"/>
      <c r="F14" s="95"/>
      <c r="G14" s="5"/>
    </row>
    <row r="15" spans="1:7" x14ac:dyDescent="0.25">
      <c r="A15" s="1"/>
      <c r="B15" s="6" t="s">
        <v>30</v>
      </c>
      <c r="C15" s="93" t="s">
        <v>150</v>
      </c>
      <c r="D15" s="94"/>
      <c r="E15" s="94"/>
      <c r="F15" s="95"/>
      <c r="G15" s="5"/>
    </row>
    <row r="16" spans="1:7" x14ac:dyDescent="0.25">
      <c r="A16" s="1"/>
      <c r="B16" s="6" t="s">
        <v>31</v>
      </c>
      <c r="C16" s="93" t="s">
        <v>152</v>
      </c>
      <c r="D16" s="94"/>
      <c r="E16" s="94"/>
      <c r="F16" s="95"/>
      <c r="G16" s="5"/>
    </row>
    <row r="17" spans="1:8" x14ac:dyDescent="0.25">
      <c r="A17" s="1"/>
      <c r="B17" s="6" t="s">
        <v>62</v>
      </c>
      <c r="C17" s="93" t="s">
        <v>153</v>
      </c>
      <c r="D17" s="94"/>
      <c r="E17" s="94"/>
      <c r="F17" s="95"/>
      <c r="G17" s="5"/>
    </row>
    <row r="18" spans="1:8" x14ac:dyDescent="0.25">
      <c r="A18" s="1"/>
      <c r="B18" s="6" t="s">
        <v>54</v>
      </c>
      <c r="C18" s="90" t="s">
        <v>46</v>
      </c>
      <c r="D18" s="91"/>
      <c r="E18" s="91"/>
      <c r="F18" s="92"/>
      <c r="G18" s="5"/>
    </row>
    <row r="19" spans="1:8" x14ac:dyDescent="0.25">
      <c r="A19" s="1"/>
      <c r="B19" s="6" t="s">
        <v>55</v>
      </c>
      <c r="C19" s="90" t="s">
        <v>47</v>
      </c>
      <c r="D19" s="91"/>
      <c r="E19" s="91"/>
      <c r="F19" s="92"/>
      <c r="G19" s="5"/>
    </row>
    <row r="20" spans="1:8" x14ac:dyDescent="0.25">
      <c r="A20" s="1"/>
      <c r="B20" s="6" t="s">
        <v>7</v>
      </c>
      <c r="C20" s="90" t="s">
        <v>10</v>
      </c>
      <c r="D20" s="91"/>
      <c r="E20" s="91"/>
      <c r="F20" s="92"/>
      <c r="G20" s="5"/>
    </row>
    <row r="21" spans="1:8" x14ac:dyDescent="0.25">
      <c r="A21" s="1"/>
      <c r="B21" s="6" t="s">
        <v>56</v>
      </c>
      <c r="C21" s="97" t="s">
        <v>12</v>
      </c>
      <c r="D21" s="98"/>
      <c r="E21" s="98"/>
      <c r="F21" s="99"/>
      <c r="G21" s="5"/>
    </row>
    <row r="22" spans="1:8" x14ac:dyDescent="0.25">
      <c r="A22" s="1"/>
      <c r="B22" s="6" t="s">
        <v>40</v>
      </c>
      <c r="C22" s="84" t="s">
        <v>154</v>
      </c>
      <c r="D22" s="85"/>
      <c r="E22" s="85"/>
      <c r="F22" s="86"/>
      <c r="G22" s="5"/>
    </row>
    <row r="23" spans="1:8" x14ac:dyDescent="0.25">
      <c r="A23" s="1"/>
      <c r="B23" s="6" t="s">
        <v>8</v>
      </c>
      <c r="C23" s="84" t="s">
        <v>113</v>
      </c>
      <c r="D23" s="85"/>
      <c r="E23" s="85"/>
      <c r="F23" s="86"/>
      <c r="G23" s="5"/>
    </row>
    <row r="24" spans="1:8" x14ac:dyDescent="0.25">
      <c r="A24" s="1"/>
      <c r="B24" s="6" t="s">
        <v>9</v>
      </c>
      <c r="C24" s="84" t="s">
        <v>155</v>
      </c>
      <c r="D24" s="85"/>
      <c r="E24" s="85"/>
      <c r="F24" s="86"/>
      <c r="G24" s="5"/>
    </row>
    <row r="25" spans="1:8" x14ac:dyDescent="0.25">
      <c r="A25" s="1"/>
      <c r="B25" s="6" t="s">
        <v>98</v>
      </c>
      <c r="C25" s="84" t="s">
        <v>92</v>
      </c>
      <c r="D25" s="85"/>
      <c r="E25" s="85"/>
      <c r="F25" s="86"/>
      <c r="G25" s="1"/>
    </row>
    <row r="26" spans="1:8" x14ac:dyDescent="0.25">
      <c r="A26" s="1"/>
      <c r="B26" s="6" t="s">
        <v>99</v>
      </c>
      <c r="C26" s="84" t="s">
        <v>41</v>
      </c>
      <c r="D26" s="85"/>
      <c r="E26" s="85"/>
      <c r="F26" s="86"/>
      <c r="G26" s="1"/>
    </row>
    <row r="27" spans="1:8" x14ac:dyDescent="0.25">
      <c r="A27" s="1"/>
      <c r="B27" s="6" t="s">
        <v>100</v>
      </c>
      <c r="C27" s="84" t="s">
        <v>42</v>
      </c>
      <c r="D27" s="85"/>
      <c r="E27" s="85"/>
      <c r="F27" s="86"/>
      <c r="G27" s="1"/>
    </row>
    <row r="28" spans="1:8" x14ac:dyDescent="0.25">
      <c r="A28" s="1"/>
      <c r="B28" s="6" t="s">
        <v>15</v>
      </c>
      <c r="C28" s="84" t="s">
        <v>43</v>
      </c>
      <c r="D28" s="85"/>
      <c r="E28" s="85"/>
      <c r="F28" s="86"/>
      <c r="G28" s="1"/>
      <c r="H28" s="2" t="s">
        <v>151</v>
      </c>
    </row>
    <row r="29" spans="1:8" x14ac:dyDescent="0.25">
      <c r="A29" s="1"/>
      <c r="B29" s="6" t="s">
        <v>33</v>
      </c>
      <c r="C29" s="84" t="s">
        <v>69</v>
      </c>
      <c r="D29" s="85"/>
      <c r="E29" s="85"/>
      <c r="F29" s="86"/>
      <c r="G29" s="1"/>
    </row>
    <row r="30" spans="1:8" x14ac:dyDescent="0.25">
      <c r="A30" s="1"/>
      <c r="B30" s="6" t="s">
        <v>34</v>
      </c>
      <c r="C30" s="84" t="s">
        <v>32</v>
      </c>
      <c r="D30" s="85"/>
      <c r="E30" s="85"/>
      <c r="F30" s="86"/>
      <c r="G30" s="1"/>
    </row>
    <row r="31" spans="1:8" x14ac:dyDescent="0.25">
      <c r="A31" s="1"/>
      <c r="B31" s="6" t="s">
        <v>101</v>
      </c>
      <c r="C31" s="87" t="s">
        <v>53</v>
      </c>
      <c r="D31" s="88"/>
      <c r="E31" s="88"/>
      <c r="F31" s="89"/>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D11Qz2Bgd0L2Zv40nbJlEQelNFkba8BPfXmkSeCxHj6lXtTbE5XvmGRsAcqCgbH+R/kfF4VuI5w/YAhE0F4Jtw==" saltValue="4twQFIeqK36jFeaSbchbLw=="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59</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12" t="s">
        <v>166</v>
      </c>
      <c r="C8" s="113"/>
      <c r="D8" s="114"/>
      <c r="E8" s="1"/>
    </row>
    <row r="9" spans="1:5" ht="15" customHeight="1" x14ac:dyDescent="0.25">
      <c r="A9" s="1"/>
      <c r="B9" s="27" t="s">
        <v>28</v>
      </c>
      <c r="C9" s="68" t="s">
        <v>167</v>
      </c>
      <c r="D9" s="11"/>
      <c r="E9" s="1"/>
    </row>
    <row r="10" spans="1:5" ht="15" customHeight="1" x14ac:dyDescent="0.25">
      <c r="A10" s="1"/>
      <c r="B10" s="73" t="s">
        <v>231</v>
      </c>
      <c r="C10" s="74">
        <v>34609188</v>
      </c>
      <c r="D10" s="14" t="s">
        <v>3</v>
      </c>
      <c r="E10" s="1"/>
    </row>
    <row r="11" spans="1:5" ht="15" customHeight="1" x14ac:dyDescent="0.25">
      <c r="A11" s="1"/>
      <c r="B11" s="73" t="s">
        <v>232</v>
      </c>
      <c r="C11" s="74">
        <v>155627</v>
      </c>
      <c r="D11" s="14" t="s">
        <v>3</v>
      </c>
      <c r="E11" s="1"/>
    </row>
    <row r="12" spans="1:5" x14ac:dyDescent="0.25">
      <c r="A12" s="1"/>
      <c r="B12" s="73" t="s">
        <v>233</v>
      </c>
      <c r="C12" s="74">
        <v>821208</v>
      </c>
      <c r="D12" s="14" t="s">
        <v>3</v>
      </c>
      <c r="E12" s="1"/>
    </row>
    <row r="13" spans="1:5" x14ac:dyDescent="0.25">
      <c r="A13" s="1"/>
      <c r="B13" s="73"/>
      <c r="C13" s="74"/>
      <c r="D13" s="14" t="s">
        <v>3</v>
      </c>
      <c r="E13" s="1"/>
    </row>
    <row r="14" spans="1:5" x14ac:dyDescent="0.25">
      <c r="A14" s="1"/>
      <c r="B14" s="73"/>
      <c r="C14" s="74"/>
      <c r="D14" s="14" t="s">
        <v>3</v>
      </c>
      <c r="E14" s="1"/>
    </row>
    <row r="15" spans="1:5" x14ac:dyDescent="0.25">
      <c r="A15" s="1"/>
      <c r="B15" s="73"/>
      <c r="C15" s="74"/>
      <c r="D15" s="14" t="s">
        <v>3</v>
      </c>
      <c r="E15" s="1"/>
    </row>
    <row r="16" spans="1:5" x14ac:dyDescent="0.25">
      <c r="A16" s="1"/>
      <c r="B16" s="73"/>
      <c r="C16" s="74"/>
      <c r="D16" s="14" t="s">
        <v>3</v>
      </c>
      <c r="E16" s="1"/>
    </row>
    <row r="17" spans="1:5" x14ac:dyDescent="0.25">
      <c r="A17" s="1"/>
      <c r="B17" s="73"/>
      <c r="C17" s="74"/>
      <c r="D17" s="14" t="s">
        <v>3</v>
      </c>
      <c r="E17" s="1"/>
    </row>
    <row r="18" spans="1:5" x14ac:dyDescent="0.25">
      <c r="A18" s="1"/>
      <c r="B18" s="73"/>
      <c r="C18" s="74"/>
      <c r="D18" s="14" t="s">
        <v>3</v>
      </c>
      <c r="E18" s="1"/>
    </row>
    <row r="19" spans="1:5" x14ac:dyDescent="0.25">
      <c r="A19" s="1"/>
      <c r="B19" s="73"/>
      <c r="C19" s="74"/>
      <c r="D19" s="14" t="s">
        <v>3</v>
      </c>
      <c r="E19" s="1"/>
    </row>
    <row r="20" spans="1:5" x14ac:dyDescent="0.25">
      <c r="A20" s="1"/>
      <c r="B20" s="33" t="s">
        <v>168</v>
      </c>
      <c r="C20" s="12">
        <f>SUM(C10:C19)</f>
        <v>35586023</v>
      </c>
      <c r="D20" s="13" t="s">
        <v>3</v>
      </c>
      <c r="E20" s="1"/>
    </row>
    <row r="21" spans="1:5" x14ac:dyDescent="0.25">
      <c r="A21" s="1"/>
      <c r="B21" s="33" t="s">
        <v>169</v>
      </c>
      <c r="C21" s="12">
        <f>C20*(1+'Fane 15. Nøgletal'!C10)^2</f>
        <v>40461154.775240868</v>
      </c>
      <c r="D21" s="13" t="s">
        <v>3</v>
      </c>
      <c r="E21" s="1"/>
    </row>
    <row r="22" spans="1:5" x14ac:dyDescent="0.25">
      <c r="A22" s="1"/>
      <c r="B22" s="16"/>
      <c r="C22" s="15"/>
      <c r="D22" s="15"/>
      <c r="E22" s="1"/>
    </row>
    <row r="23" spans="1:5" x14ac:dyDescent="0.25">
      <c r="A23" s="1"/>
      <c r="B23" s="16"/>
      <c r="C23" s="15"/>
      <c r="D23" s="15"/>
      <c r="E23" s="1"/>
    </row>
    <row r="24" spans="1:5" x14ac:dyDescent="0.25">
      <c r="A24" s="1"/>
      <c r="B24" s="112" t="s">
        <v>61</v>
      </c>
      <c r="C24" s="113"/>
      <c r="D24" s="114"/>
      <c r="E24" s="1"/>
    </row>
    <row r="25" spans="1:5" x14ac:dyDescent="0.25">
      <c r="A25" s="1"/>
      <c r="B25" s="37" t="s">
        <v>73</v>
      </c>
      <c r="C25" s="9">
        <v>162383</v>
      </c>
      <c r="D25" s="14" t="s">
        <v>3</v>
      </c>
      <c r="E25" s="1"/>
    </row>
    <row r="26" spans="1:5" x14ac:dyDescent="0.25">
      <c r="A26" s="1"/>
      <c r="B26" s="37" t="s">
        <v>84</v>
      </c>
      <c r="C26" s="9">
        <v>165632</v>
      </c>
      <c r="D26" s="14" t="s">
        <v>3</v>
      </c>
      <c r="E26" s="1"/>
    </row>
    <row r="27" spans="1:5" x14ac:dyDescent="0.25">
      <c r="A27" s="1"/>
      <c r="B27" s="37" t="s">
        <v>149</v>
      </c>
      <c r="C27" s="9">
        <v>168946</v>
      </c>
      <c r="D27" s="14" t="s">
        <v>3</v>
      </c>
      <c r="E27" s="1"/>
    </row>
    <row r="28" spans="1:5" x14ac:dyDescent="0.25">
      <c r="A28" s="1"/>
      <c r="B28" s="34" t="s">
        <v>170</v>
      </c>
      <c r="C28" s="9">
        <v>172325</v>
      </c>
      <c r="D28" s="36" t="s">
        <v>3</v>
      </c>
      <c r="E28" s="1"/>
    </row>
    <row r="29" spans="1:5" x14ac:dyDescent="0.25">
      <c r="A29" s="1"/>
      <c r="B29" s="112"/>
      <c r="C29" s="113"/>
      <c r="D29" s="114"/>
      <c r="E29" s="1"/>
    </row>
    <row r="30" spans="1:5" x14ac:dyDescent="0.25">
      <c r="A30" s="1"/>
      <c r="B30" s="1"/>
      <c r="C30" s="1"/>
      <c r="D30" s="1"/>
      <c r="E30" s="1"/>
    </row>
    <row r="31" spans="1:5" x14ac:dyDescent="0.25">
      <c r="A31" s="1"/>
      <c r="B31" s="1"/>
      <c r="C31" s="1"/>
      <c r="D31" s="1"/>
      <c r="E31" s="1"/>
    </row>
    <row r="32" spans="1:5" x14ac:dyDescent="0.25">
      <c r="A32" s="1"/>
      <c r="B32" s="112" t="s">
        <v>48</v>
      </c>
      <c r="C32" s="113"/>
      <c r="D32" s="114"/>
      <c r="E32" s="1"/>
    </row>
    <row r="33" spans="1:5" x14ac:dyDescent="0.25">
      <c r="A33" s="1"/>
      <c r="B33" s="37" t="s">
        <v>73</v>
      </c>
      <c r="C33" s="9">
        <v>2287144</v>
      </c>
      <c r="D33" s="14" t="s">
        <v>3</v>
      </c>
      <c r="E33" s="1"/>
    </row>
    <row r="34" spans="1:5" x14ac:dyDescent="0.25">
      <c r="A34" s="1"/>
      <c r="B34" s="37" t="s">
        <v>84</v>
      </c>
      <c r="C34" s="9">
        <v>2287144</v>
      </c>
      <c r="D34" s="14" t="s">
        <v>3</v>
      </c>
      <c r="E34" s="1"/>
    </row>
    <row r="35" spans="1:5" x14ac:dyDescent="0.25">
      <c r="A35" s="1"/>
      <c r="B35" s="37" t="s">
        <v>149</v>
      </c>
      <c r="C35" s="9">
        <v>2287143</v>
      </c>
      <c r="D35" s="14" t="s">
        <v>3</v>
      </c>
      <c r="E35" s="1"/>
    </row>
    <row r="36" spans="1:5" x14ac:dyDescent="0.25">
      <c r="A36" s="1"/>
      <c r="B36" s="34" t="s">
        <v>170</v>
      </c>
      <c r="C36" s="9">
        <v>0</v>
      </c>
      <c r="D36" s="36" t="s">
        <v>3</v>
      </c>
      <c r="E36" s="1"/>
    </row>
    <row r="37" spans="1:5" x14ac:dyDescent="0.25">
      <c r="A37" s="1"/>
      <c r="B37" s="112"/>
      <c r="C37" s="113"/>
      <c r="D37" s="114"/>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9btsIBdLBjHGHBWD+QXThxFaw+4Q+bh+mdh8X/sFpt1A37yA1AXy3KKD/HjO6FlnIaBnhdYQhWltmNhfHfqJVg==" saltValue="7NY4KSlXeL+K0fG4F2Mnjg=="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1" t="s">
        <v>202</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25">
      <c r="A6" s="1"/>
      <c r="B6" s="76"/>
      <c r="C6" s="76"/>
      <c r="D6" s="76"/>
      <c r="E6" s="1"/>
    </row>
    <row r="7" spans="1:5" x14ac:dyDescent="0.25">
      <c r="A7" s="1"/>
      <c r="B7" s="1"/>
      <c r="C7" s="1"/>
      <c r="D7" s="1"/>
      <c r="E7" s="1"/>
    </row>
    <row r="8" spans="1:5" x14ac:dyDescent="0.25">
      <c r="A8" s="1"/>
      <c r="B8" s="112" t="s">
        <v>78</v>
      </c>
      <c r="C8" s="113"/>
      <c r="D8" s="114"/>
      <c r="E8" s="1"/>
    </row>
    <row r="9" spans="1:5" x14ac:dyDescent="0.25">
      <c r="A9" s="1"/>
      <c r="B9" s="66" t="s">
        <v>205</v>
      </c>
      <c r="C9" s="9">
        <v>-955198.93276339769</v>
      </c>
      <c r="D9" s="14" t="s">
        <v>3</v>
      </c>
      <c r="E9" s="1"/>
    </row>
    <row r="10" spans="1:5" x14ac:dyDescent="0.25">
      <c r="A10" s="1"/>
      <c r="B10" s="33"/>
      <c r="C10" s="28"/>
      <c r="D10" s="19"/>
      <c r="E10" s="1"/>
    </row>
    <row r="11" spans="1:5" ht="53.25" customHeight="1" x14ac:dyDescent="0.25">
      <c r="A11" s="1"/>
      <c r="B11" s="123" t="s">
        <v>213</v>
      </c>
      <c r="C11" s="124"/>
      <c r="D11" s="125"/>
      <c r="E11" s="1"/>
    </row>
    <row r="12" spans="1:5" x14ac:dyDescent="0.25">
      <c r="A12" s="1"/>
      <c r="B12" s="1"/>
      <c r="C12" s="1"/>
      <c r="D12" s="1"/>
      <c r="E12" s="1"/>
    </row>
    <row r="13" spans="1:5" x14ac:dyDescent="0.25">
      <c r="A13" s="1"/>
      <c r="B13" s="112" t="s">
        <v>79</v>
      </c>
      <c r="C13" s="113"/>
      <c r="D13" s="114"/>
      <c r="E13" s="1"/>
    </row>
    <row r="14" spans="1:5" x14ac:dyDescent="0.25">
      <c r="A14" s="1"/>
      <c r="B14" s="66" t="s">
        <v>203</v>
      </c>
      <c r="C14" s="9">
        <v>0</v>
      </c>
      <c r="D14" s="14" t="s">
        <v>3</v>
      </c>
      <c r="E14" s="1"/>
    </row>
    <row r="15" spans="1:5" x14ac:dyDescent="0.25">
      <c r="A15" s="1"/>
      <c r="B15" s="66" t="s">
        <v>204</v>
      </c>
      <c r="C15" s="9">
        <v>0</v>
      </c>
      <c r="D15" s="14" t="s">
        <v>3</v>
      </c>
      <c r="E15" s="1"/>
    </row>
    <row r="16" spans="1:5" x14ac:dyDescent="0.25">
      <c r="A16" s="1"/>
      <c r="B16" s="33"/>
      <c r="C16" s="28"/>
      <c r="D16" s="19"/>
      <c r="E16" s="1"/>
    </row>
    <row r="17" spans="1:5" ht="29.25" customHeight="1" x14ac:dyDescent="0.25">
      <c r="A17" s="1"/>
      <c r="B17" s="123" t="s">
        <v>122</v>
      </c>
      <c r="C17" s="124"/>
      <c r="D17" s="125"/>
      <c r="E17" s="1"/>
    </row>
    <row r="18" spans="1:5" x14ac:dyDescent="0.25">
      <c r="A18" s="1"/>
      <c r="B18" s="1"/>
      <c r="C18" s="1"/>
      <c r="D18" s="1"/>
      <c r="E18" s="1"/>
    </row>
    <row r="19" spans="1:5" x14ac:dyDescent="0.25">
      <c r="A19" s="1"/>
      <c r="B19" s="77" t="s">
        <v>206</v>
      </c>
      <c r="C19" s="78"/>
      <c r="D19" s="79"/>
      <c r="E19" s="1"/>
    </row>
    <row r="20" spans="1:5" x14ac:dyDescent="0.25">
      <c r="A20" s="1"/>
      <c r="B20" s="66" t="s">
        <v>207</v>
      </c>
      <c r="C20" s="9">
        <v>168587866.26951882</v>
      </c>
      <c r="D20" s="14" t="s">
        <v>3</v>
      </c>
      <c r="E20" s="1"/>
    </row>
    <row r="21" spans="1:5" x14ac:dyDescent="0.25">
      <c r="A21" s="1"/>
      <c r="B21" s="66" t="s">
        <v>208</v>
      </c>
      <c r="C21" s="9">
        <v>148069327.83999997</v>
      </c>
      <c r="D21" s="14" t="s">
        <v>3</v>
      </c>
      <c r="E21" s="1"/>
    </row>
    <row r="22" spans="1:5" x14ac:dyDescent="0.25">
      <c r="A22" s="1"/>
      <c r="B22" s="66" t="s">
        <v>29</v>
      </c>
      <c r="C22" s="9">
        <v>0</v>
      </c>
      <c r="D22" s="14" t="s">
        <v>3</v>
      </c>
      <c r="E22" s="1"/>
    </row>
    <row r="23" spans="1:5" x14ac:dyDescent="0.25">
      <c r="A23" s="1"/>
      <c r="B23" s="83" t="s">
        <v>209</v>
      </c>
      <c r="C23" s="57">
        <f>C20-C21-C22</f>
        <v>20518538.429518849</v>
      </c>
      <c r="D23" s="17" t="s">
        <v>3</v>
      </c>
      <c r="E23" s="1"/>
    </row>
    <row r="24" spans="1:5" x14ac:dyDescent="0.25">
      <c r="A24" s="1"/>
      <c r="B24" s="33"/>
      <c r="C24" s="28"/>
      <c r="D24" s="19"/>
      <c r="E24" s="1"/>
    </row>
    <row r="25" spans="1:5" x14ac:dyDescent="0.25">
      <c r="A25" s="1"/>
      <c r="B25" s="1"/>
      <c r="C25" s="1"/>
      <c r="D25" s="1"/>
      <c r="E25" s="1"/>
    </row>
    <row r="26" spans="1:5" x14ac:dyDescent="0.25">
      <c r="A26" s="1"/>
      <c r="B26" s="112" t="s">
        <v>210</v>
      </c>
      <c r="C26" s="113"/>
      <c r="D26" s="114"/>
      <c r="E26" s="1"/>
    </row>
    <row r="27" spans="1:5" x14ac:dyDescent="0.25">
      <c r="A27" s="1"/>
      <c r="B27" s="83" t="s">
        <v>211</v>
      </c>
      <c r="C27" s="57">
        <f>IF(AND(C15&lt;0,C23&gt;0,ABS(SUM(C14:C15))&lt;C23),ABS(C14),IF(AND(C15&lt;0,C23&gt;0,ABS(SUM(C14:C15))&gt;C23),SUM(C14,C23),C15))</f>
        <v>0</v>
      </c>
      <c r="D27" s="17" t="s">
        <v>3</v>
      </c>
      <c r="E27" s="1"/>
    </row>
    <row r="28" spans="1:5" x14ac:dyDescent="0.25">
      <c r="A28" s="1"/>
      <c r="B28" s="112"/>
      <c r="C28" s="113"/>
      <c r="D28" s="114"/>
      <c r="E28" s="1"/>
    </row>
    <row r="29" spans="1:5" x14ac:dyDescent="0.25">
      <c r="A29" s="1"/>
      <c r="B29" s="1"/>
      <c r="C29" s="1"/>
      <c r="D29" s="1"/>
      <c r="E29" s="1"/>
    </row>
    <row r="30" spans="1:5" x14ac:dyDescent="0.25">
      <c r="A30" s="1"/>
      <c r="B30" s="112" t="s">
        <v>212</v>
      </c>
      <c r="C30" s="113"/>
      <c r="D30" s="114"/>
      <c r="E30" s="1"/>
    </row>
    <row r="31" spans="1:5" x14ac:dyDescent="0.25">
      <c r="A31" s="1"/>
      <c r="B31" s="67" t="s">
        <v>70</v>
      </c>
      <c r="C31" s="58">
        <f>IF(AND(C9&gt;0,(C9+C23)&gt;0),0,IF(AND(C9&gt;0,(C9+C23)&lt;0),(C9+C23),IF(AND(C9&lt;0,C23&lt;0),C23,0)))</f>
        <v>0</v>
      </c>
      <c r="D31" s="14" t="s">
        <v>3</v>
      </c>
      <c r="E31" s="1"/>
    </row>
    <row r="32" spans="1:5" x14ac:dyDescent="0.25">
      <c r="A32" s="1"/>
      <c r="B32" s="67" t="s">
        <v>50</v>
      </c>
      <c r="C32" s="9">
        <v>2</v>
      </c>
      <c r="D32" s="14" t="s">
        <v>20</v>
      </c>
      <c r="E32" s="1"/>
    </row>
    <row r="33" spans="1:5" x14ac:dyDescent="0.25">
      <c r="A33" s="1"/>
      <c r="B33" s="68" t="s">
        <v>71</v>
      </c>
      <c r="C33" s="57">
        <f>C31/C32</f>
        <v>0</v>
      </c>
      <c r="D33" s="17" t="s">
        <v>3</v>
      </c>
      <c r="E33" s="1"/>
    </row>
    <row r="34" spans="1:5" x14ac:dyDescent="0.25">
      <c r="A34" s="1"/>
      <c r="B34" s="120"/>
      <c r="C34" s="121"/>
      <c r="D34" s="122"/>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3iqnDDAH2cSJ0HanTKPW5WgMM0pEZrpxAdGJdA4f44O2E5beZaICtqPvbYeaTbswM3OmYjJCka5KC+g2TA8+2Q==" saltValue="SR9LEr3EfHwcnJ7jE48GeA=="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11" t="s">
        <v>102</v>
      </c>
      <c r="C3" s="111"/>
      <c r="D3" s="111"/>
      <c r="E3" s="1"/>
    </row>
    <row r="4" spans="1:5" ht="15" customHeight="1" x14ac:dyDescent="0.25">
      <c r="A4" s="1"/>
      <c r="B4" s="111"/>
      <c r="C4" s="111"/>
      <c r="D4" s="111"/>
      <c r="E4" s="1"/>
    </row>
    <row r="5" spans="1:5" x14ac:dyDescent="0.25">
      <c r="A5" s="1"/>
      <c r="B5" s="111"/>
      <c r="C5" s="111"/>
      <c r="D5" s="111"/>
      <c r="E5" s="1"/>
    </row>
    <row r="6" spans="1:5" x14ac:dyDescent="0.25">
      <c r="A6" s="1"/>
      <c r="B6" s="1"/>
      <c r="C6" s="1"/>
      <c r="D6" s="1"/>
      <c r="E6" s="1"/>
    </row>
    <row r="7" spans="1:5" x14ac:dyDescent="0.25">
      <c r="A7" s="1"/>
      <c r="B7" s="1"/>
      <c r="C7" s="1"/>
      <c r="D7" s="1"/>
      <c r="E7" s="1"/>
    </row>
    <row r="8" spans="1:5" x14ac:dyDescent="0.25">
      <c r="A8" s="1"/>
      <c r="B8" s="112" t="s">
        <v>121</v>
      </c>
      <c r="C8" s="113"/>
      <c r="D8" s="114"/>
      <c r="E8" s="1"/>
    </row>
    <row r="9" spans="1:5" ht="15" customHeight="1" x14ac:dyDescent="0.25">
      <c r="A9" s="1"/>
      <c r="B9" s="126" t="s">
        <v>103</v>
      </c>
      <c r="C9" s="127"/>
      <c r="D9" s="128"/>
      <c r="E9" s="1"/>
    </row>
    <row r="10" spans="1:5" x14ac:dyDescent="0.25">
      <c r="A10" s="1"/>
      <c r="B10" s="69" t="s">
        <v>104</v>
      </c>
      <c r="C10" s="9"/>
      <c r="D10" s="9" t="s">
        <v>3</v>
      </c>
      <c r="E10" s="1"/>
    </row>
    <row r="11" spans="1:5" x14ac:dyDescent="0.25">
      <c r="A11" s="1"/>
      <c r="B11" s="69" t="s">
        <v>105</v>
      </c>
      <c r="C11" s="9"/>
      <c r="D11" s="9" t="s">
        <v>3</v>
      </c>
      <c r="E11" s="1"/>
    </row>
    <row r="12" spans="1:5" x14ac:dyDescent="0.25">
      <c r="A12" s="1"/>
      <c r="B12" s="69" t="s">
        <v>106</v>
      </c>
      <c r="C12" s="9"/>
      <c r="D12" s="9" t="s">
        <v>3</v>
      </c>
      <c r="E12" s="1"/>
    </row>
    <row r="13" spans="1:5" x14ac:dyDescent="0.25">
      <c r="A13" s="1"/>
      <c r="B13" s="69" t="s">
        <v>107</v>
      </c>
      <c r="C13" s="9"/>
      <c r="D13" s="9" t="s">
        <v>3</v>
      </c>
      <c r="E13" s="1"/>
    </row>
    <row r="14" spans="1:5" x14ac:dyDescent="0.25">
      <c r="A14" s="1"/>
      <c r="B14" s="69" t="s">
        <v>108</v>
      </c>
      <c r="C14" s="9"/>
      <c r="D14" s="9" t="s">
        <v>3</v>
      </c>
      <c r="E14" s="1"/>
    </row>
    <row r="15" spans="1:5" x14ac:dyDescent="0.25">
      <c r="A15" s="1"/>
      <c r="B15" s="69" t="s">
        <v>109</v>
      </c>
      <c r="C15" s="9"/>
      <c r="D15" s="9" t="s">
        <v>3</v>
      </c>
      <c r="E15" s="1"/>
    </row>
    <row r="16" spans="1:5" x14ac:dyDescent="0.25">
      <c r="A16" s="1"/>
      <c r="B16" s="69" t="s">
        <v>110</v>
      </c>
      <c r="C16" s="9"/>
      <c r="D16" s="9" t="s">
        <v>3</v>
      </c>
      <c r="E16" s="1"/>
    </row>
    <row r="17" spans="1:5" x14ac:dyDescent="0.25">
      <c r="A17" s="1"/>
      <c r="B17" s="69" t="s">
        <v>111</v>
      </c>
      <c r="C17" s="9"/>
      <c r="D17" s="9" t="s">
        <v>3</v>
      </c>
      <c r="E17" s="1"/>
    </row>
    <row r="18" spans="1:5" x14ac:dyDescent="0.25">
      <c r="A18" s="1"/>
      <c r="B18" s="77" t="s">
        <v>112</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Ibxk69UpGrChVaDrH0/2TckUUDOfvKywDdAa8ukFql5gwapQFAW8bcHvGP+OQgRpPVh3jYrAVe6O2SFMNcy2wg==" saltValue="mjX6xSo3qtOg5IOwr406nQ=="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1" t="s">
        <v>171</v>
      </c>
      <c r="C3" s="111"/>
      <c r="D3" s="111"/>
      <c r="E3" s="1"/>
    </row>
    <row r="4" spans="1:5" ht="15" customHeight="1" x14ac:dyDescent="0.25">
      <c r="A4" s="1"/>
      <c r="B4" s="111"/>
      <c r="C4" s="111"/>
      <c r="D4" s="111"/>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12" t="s">
        <v>172</v>
      </c>
      <c r="C8" s="113"/>
      <c r="D8" s="114"/>
      <c r="E8" s="1"/>
    </row>
    <row r="9" spans="1:5" ht="26.25" x14ac:dyDescent="0.25">
      <c r="A9" s="1"/>
      <c r="B9" s="80" t="s">
        <v>218</v>
      </c>
      <c r="C9" s="7"/>
      <c r="D9" s="8" t="s">
        <v>3</v>
      </c>
      <c r="E9" s="1"/>
    </row>
    <row r="10" spans="1:5" ht="14.25" customHeight="1" x14ac:dyDescent="0.25">
      <c r="A10" s="1"/>
      <c r="B10" s="66" t="s">
        <v>173</v>
      </c>
      <c r="C10" s="7"/>
      <c r="D10" s="8" t="s">
        <v>3</v>
      </c>
      <c r="E10" s="1"/>
    </row>
    <row r="11" spans="1:5" ht="14.25" customHeight="1" x14ac:dyDescent="0.25">
      <c r="A11" s="1"/>
      <c r="B11" s="83" t="s">
        <v>49</v>
      </c>
      <c r="C11" s="10">
        <f>C10-C9</f>
        <v>0</v>
      </c>
      <c r="D11" s="11" t="s">
        <v>3</v>
      </c>
      <c r="E11" s="1"/>
    </row>
    <row r="12" spans="1:5" ht="14.25" customHeight="1" x14ac:dyDescent="0.25">
      <c r="A12" s="1"/>
      <c r="B12" s="112" t="s">
        <v>220</v>
      </c>
      <c r="C12" s="113"/>
      <c r="D12" s="114"/>
      <c r="E12" s="1"/>
    </row>
    <row r="13" spans="1:5" ht="26.25" x14ac:dyDescent="0.25">
      <c r="A13" s="1"/>
      <c r="B13" s="80" t="s">
        <v>219</v>
      </c>
      <c r="C13" s="7">
        <v>1228253</v>
      </c>
      <c r="D13" s="8" t="s">
        <v>3</v>
      </c>
      <c r="E13" s="1"/>
    </row>
    <row r="14" spans="1:5" ht="14.25" customHeight="1" x14ac:dyDescent="0.25">
      <c r="A14" s="1"/>
      <c r="B14" s="66" t="s">
        <v>174</v>
      </c>
      <c r="C14" s="7">
        <v>0</v>
      </c>
      <c r="D14" s="8" t="s">
        <v>3</v>
      </c>
      <c r="E14" s="1"/>
    </row>
    <row r="15" spans="1:5" ht="14.25" customHeight="1" x14ac:dyDescent="0.25">
      <c r="A15" s="1"/>
      <c r="B15" s="83" t="s">
        <v>49</v>
      </c>
      <c r="C15" s="10">
        <f>C14-C13</f>
        <v>-1228253</v>
      </c>
      <c r="D15" s="11" t="s">
        <v>3</v>
      </c>
      <c r="E15" s="1"/>
    </row>
    <row r="16" spans="1:5" ht="14.25" customHeight="1" x14ac:dyDescent="0.25">
      <c r="A16" s="1"/>
      <c r="B16" s="33" t="s">
        <v>175</v>
      </c>
      <c r="C16" s="12">
        <f>C11+C15</f>
        <v>-1228253</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0o/X/edwRee+NJuMMTLsmYUAvyzlu9/HePrXAZK+vWV2RFEIGpBH45IZo2wZRaqYA5KSyv7MUkxYLgt2BW6x/Q==" saltValue="oQpJUejp8PlK5XC1haZGzA=="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5" t="s">
        <v>114</v>
      </c>
      <c r="C3" s="105"/>
      <c r="D3" s="105"/>
      <c r="E3" s="105"/>
      <c r="F3" s="105"/>
      <c r="G3" s="105"/>
      <c r="H3" s="105"/>
      <c r="I3" s="105"/>
      <c r="J3" s="105"/>
      <c r="K3" s="105"/>
      <c r="L3" s="1"/>
    </row>
    <row r="4" spans="1:12" ht="15" customHeight="1" x14ac:dyDescent="0.25">
      <c r="A4" s="1"/>
      <c r="B4" s="105"/>
      <c r="C4" s="105"/>
      <c r="D4" s="105"/>
      <c r="E4" s="105"/>
      <c r="F4" s="105"/>
      <c r="G4" s="105"/>
      <c r="H4" s="105"/>
      <c r="I4" s="105"/>
      <c r="J4" s="105"/>
      <c r="K4" s="105"/>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2" t="s">
        <v>87</v>
      </c>
      <c r="C8" s="113"/>
      <c r="D8" s="113"/>
      <c r="E8" s="113"/>
      <c r="F8" s="113"/>
      <c r="G8" s="113"/>
      <c r="H8" s="113"/>
      <c r="I8" s="113"/>
      <c r="J8" s="113"/>
      <c r="K8" s="114"/>
      <c r="L8" s="1"/>
    </row>
    <row r="9" spans="1:12" ht="39.75" customHeight="1" x14ac:dyDescent="0.25">
      <c r="A9" s="1"/>
      <c r="B9" s="18" t="s">
        <v>0</v>
      </c>
      <c r="C9" s="18" t="s">
        <v>1</v>
      </c>
      <c r="D9" s="129" t="s">
        <v>97</v>
      </c>
      <c r="E9" s="130"/>
      <c r="F9" s="129" t="s">
        <v>2</v>
      </c>
      <c r="G9" s="130"/>
      <c r="H9" s="129" t="s">
        <v>96</v>
      </c>
      <c r="I9" s="130"/>
      <c r="J9" s="129" t="s">
        <v>26</v>
      </c>
      <c r="K9" s="130"/>
      <c r="L9" s="1"/>
    </row>
    <row r="10" spans="1:12" x14ac:dyDescent="0.25">
      <c r="A10" s="1"/>
      <c r="B10" s="69" t="s">
        <v>225</v>
      </c>
      <c r="C10" s="42">
        <v>0</v>
      </c>
      <c r="D10" s="9">
        <v>0</v>
      </c>
      <c r="E10" s="14" t="s">
        <v>3</v>
      </c>
      <c r="F10" s="9">
        <f>IFERROR(D10/C10,0)</f>
        <v>0</v>
      </c>
      <c r="G10" s="14" t="s">
        <v>3</v>
      </c>
      <c r="H10" s="38">
        <v>0</v>
      </c>
      <c r="I10" s="14" t="s">
        <v>3</v>
      </c>
      <c r="J10" s="38">
        <v>0</v>
      </c>
      <c r="K10" s="14" t="s">
        <v>3</v>
      </c>
      <c r="L10" s="1"/>
    </row>
    <row r="11" spans="1:12" x14ac:dyDescent="0.25">
      <c r="A11" s="1"/>
      <c r="B11" s="77" t="s">
        <v>222</v>
      </c>
      <c r="C11" s="78"/>
      <c r="D11" s="79"/>
      <c r="E11" s="79"/>
      <c r="F11" s="12">
        <f>SUM(F10:F10)</f>
        <v>0</v>
      </c>
      <c r="G11" s="12" t="s">
        <v>95</v>
      </c>
      <c r="H11" s="12">
        <f>SUM(H10:H10)</f>
        <v>0</v>
      </c>
      <c r="I11" s="12" t="s">
        <v>95</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XKb4b/FsjTwCxpJMMUglaJyvP51+av0LsY9HBI/dqsCrcpp97VKRdciUqMH3ULqpcV9PNVHns4csvfnF+Wl3xw==" saltValue="VLuqyrKVzQi9eRj0EDdZn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61"/>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115</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1" t="s">
        <v>17</v>
      </c>
      <c r="C9" s="83" t="s">
        <v>11</v>
      </c>
      <c r="D9" s="82"/>
      <c r="E9" s="83" t="s">
        <v>27</v>
      </c>
      <c r="F9" s="32"/>
      <c r="G9" s="1"/>
    </row>
    <row r="10" spans="1:7" x14ac:dyDescent="0.25">
      <c r="A10" s="1"/>
      <c r="B10" s="24" t="s">
        <v>88</v>
      </c>
      <c r="C10" s="21">
        <f>'Fane 10. Anlægsprojekter (§ 19)'!H11</f>
        <v>0</v>
      </c>
      <c r="D10" s="14" t="s">
        <v>3</v>
      </c>
      <c r="E10" s="9">
        <f>'Fane 10. Anlægsprojekter (§ 19)'!F11+'Fane 10. Anlægsprojekter (§ 19)'!J11</f>
        <v>0</v>
      </c>
      <c r="F10" s="14" t="s">
        <v>3</v>
      </c>
      <c r="G10" s="1"/>
    </row>
    <row r="11" spans="1:7" x14ac:dyDescent="0.25">
      <c r="A11" s="1"/>
      <c r="B11" s="24" t="s">
        <v>235</v>
      </c>
      <c r="C11" s="21">
        <v>9390</v>
      </c>
      <c r="D11" s="14" t="s">
        <v>3</v>
      </c>
      <c r="E11" s="9">
        <v>600636</v>
      </c>
      <c r="F11" s="14" t="s">
        <v>3</v>
      </c>
      <c r="G11" s="1"/>
    </row>
    <row r="12" spans="1:7" x14ac:dyDescent="0.25">
      <c r="A12" s="1"/>
      <c r="B12" s="24" t="s">
        <v>236</v>
      </c>
      <c r="C12" s="21">
        <v>20810</v>
      </c>
      <c r="D12" s="14" t="s">
        <v>3</v>
      </c>
      <c r="E12" s="9">
        <v>883084</v>
      </c>
      <c r="F12" s="14" t="s">
        <v>3</v>
      </c>
      <c r="G12" s="1"/>
    </row>
    <row r="13" spans="1:7" x14ac:dyDescent="0.25">
      <c r="A13" s="1"/>
      <c r="B13" s="24" t="s">
        <v>237</v>
      </c>
      <c r="C13" s="21">
        <v>1001</v>
      </c>
      <c r="D13" s="14" t="s">
        <v>3</v>
      </c>
      <c r="E13" s="9">
        <v>244346</v>
      </c>
      <c r="F13" s="14" t="s">
        <v>3</v>
      </c>
      <c r="G13" s="1"/>
    </row>
    <row r="14" spans="1:7" x14ac:dyDescent="0.25">
      <c r="A14" s="1"/>
      <c r="B14" s="24" t="s">
        <v>238</v>
      </c>
      <c r="C14" s="21">
        <v>61078</v>
      </c>
      <c r="D14" s="14" t="s">
        <v>3</v>
      </c>
      <c r="E14" s="9">
        <v>379737</v>
      </c>
      <c r="F14" s="14" t="s">
        <v>3</v>
      </c>
      <c r="G14" s="1"/>
    </row>
    <row r="15" spans="1:7" x14ac:dyDescent="0.25">
      <c r="A15" s="1"/>
      <c r="B15" s="24" t="s">
        <v>239</v>
      </c>
      <c r="C15" s="21">
        <v>79061</v>
      </c>
      <c r="D15" s="14" t="s">
        <v>3</v>
      </c>
      <c r="E15" s="9">
        <v>387613</v>
      </c>
      <c r="F15" s="14" t="s">
        <v>3</v>
      </c>
      <c r="G15" s="1"/>
    </row>
    <row r="16" spans="1:7" x14ac:dyDescent="0.25">
      <c r="A16" s="1"/>
      <c r="B16" s="24" t="s">
        <v>240</v>
      </c>
      <c r="C16" s="21">
        <v>33427</v>
      </c>
      <c r="D16" s="14" t="s">
        <v>3</v>
      </c>
      <c r="E16" s="9">
        <v>222630</v>
      </c>
      <c r="F16" s="14" t="s">
        <v>3</v>
      </c>
      <c r="G16" s="1"/>
    </row>
    <row r="17" spans="1:7" x14ac:dyDescent="0.25">
      <c r="A17" s="1"/>
      <c r="B17" s="24" t="s">
        <v>241</v>
      </c>
      <c r="C17" s="21">
        <v>29316</v>
      </c>
      <c r="D17" s="14" t="s">
        <v>3</v>
      </c>
      <c r="E17" s="9">
        <v>144724</v>
      </c>
      <c r="F17" s="14" t="s">
        <v>3</v>
      </c>
      <c r="G17" s="1"/>
    </row>
    <row r="18" spans="1:7" x14ac:dyDescent="0.25">
      <c r="A18" s="1"/>
      <c r="B18" s="24" t="s">
        <v>242</v>
      </c>
      <c r="C18" s="21">
        <v>2016</v>
      </c>
      <c r="D18" s="14" t="s">
        <v>3</v>
      </c>
      <c r="E18" s="9">
        <v>13528</v>
      </c>
      <c r="F18" s="14" t="s">
        <v>3</v>
      </c>
      <c r="G18" s="1"/>
    </row>
    <row r="19" spans="1:7" x14ac:dyDescent="0.25">
      <c r="A19" s="1"/>
      <c r="B19" s="24" t="s">
        <v>243</v>
      </c>
      <c r="C19" s="21">
        <v>22312</v>
      </c>
      <c r="D19" s="14" t="s">
        <v>3</v>
      </c>
      <c r="E19" s="9">
        <v>113383</v>
      </c>
      <c r="F19" s="14" t="s">
        <v>3</v>
      </c>
      <c r="G19" s="1"/>
    </row>
    <row r="20" spans="1:7" x14ac:dyDescent="0.25">
      <c r="A20" s="1"/>
      <c r="B20" s="24" t="s">
        <v>244</v>
      </c>
      <c r="C20" s="21">
        <v>19284</v>
      </c>
      <c r="D20" s="14" t="s">
        <v>3</v>
      </c>
      <c r="E20" s="9">
        <v>126301</v>
      </c>
      <c r="F20" s="14" t="s">
        <v>3</v>
      </c>
      <c r="G20" s="1"/>
    </row>
    <row r="21" spans="1:7" x14ac:dyDescent="0.25">
      <c r="A21" s="1"/>
      <c r="B21" s="24" t="s">
        <v>245</v>
      </c>
      <c r="C21" s="21">
        <v>4355</v>
      </c>
      <c r="D21" s="14" t="s">
        <v>3</v>
      </c>
      <c r="E21" s="9">
        <v>18370</v>
      </c>
      <c r="F21" s="14" t="s">
        <v>3</v>
      </c>
      <c r="G21" s="1"/>
    </row>
    <row r="22" spans="1:7" x14ac:dyDescent="0.25">
      <c r="A22" s="1"/>
      <c r="B22" s="24" t="s">
        <v>246</v>
      </c>
      <c r="C22" s="21">
        <v>28748</v>
      </c>
      <c r="D22" s="14" t="s">
        <v>3</v>
      </c>
      <c r="E22" s="9">
        <v>169297</v>
      </c>
      <c r="F22" s="14" t="s">
        <v>3</v>
      </c>
      <c r="G22" s="1"/>
    </row>
    <row r="23" spans="1:7" x14ac:dyDescent="0.25">
      <c r="A23" s="1"/>
      <c r="B23" s="24" t="s">
        <v>247</v>
      </c>
      <c r="C23" s="21">
        <v>211</v>
      </c>
      <c r="D23" s="14" t="s">
        <v>3</v>
      </c>
      <c r="E23" s="9">
        <v>13605</v>
      </c>
      <c r="F23" s="14" t="s">
        <v>3</v>
      </c>
      <c r="G23" s="1"/>
    </row>
    <row r="24" spans="1:7" x14ac:dyDescent="0.25">
      <c r="A24" s="1"/>
      <c r="B24" s="24" t="s">
        <v>248</v>
      </c>
      <c r="C24" s="21">
        <v>2028</v>
      </c>
      <c r="D24" s="14" t="s">
        <v>3</v>
      </c>
      <c r="E24" s="9">
        <v>49836</v>
      </c>
      <c r="F24" s="14" t="s">
        <v>3</v>
      </c>
      <c r="G24" s="1"/>
    </row>
    <row r="25" spans="1:7" x14ac:dyDescent="0.25">
      <c r="A25" s="1"/>
      <c r="B25" s="24" t="s">
        <v>249</v>
      </c>
      <c r="C25" s="21">
        <v>68</v>
      </c>
      <c r="D25" s="14" t="s">
        <v>3</v>
      </c>
      <c r="E25" s="9">
        <v>2631</v>
      </c>
      <c r="F25" s="14" t="s">
        <v>3</v>
      </c>
      <c r="G25" s="1"/>
    </row>
    <row r="26" spans="1:7" x14ac:dyDescent="0.25">
      <c r="A26" s="1"/>
      <c r="B26" s="24" t="s">
        <v>250</v>
      </c>
      <c r="C26" s="21">
        <v>5048</v>
      </c>
      <c r="D26" s="14" t="s">
        <v>3</v>
      </c>
      <c r="E26" s="9">
        <v>96898</v>
      </c>
      <c r="F26" s="14" t="s">
        <v>3</v>
      </c>
      <c r="G26" s="1"/>
    </row>
    <row r="27" spans="1:7" x14ac:dyDescent="0.25">
      <c r="A27" s="1"/>
      <c r="B27" s="24" t="s">
        <v>251</v>
      </c>
      <c r="C27" s="21">
        <v>5297</v>
      </c>
      <c r="D27" s="14" t="s">
        <v>3</v>
      </c>
      <c r="E27" s="9">
        <v>13432</v>
      </c>
      <c r="F27" s="14" t="s">
        <v>3</v>
      </c>
      <c r="G27" s="1"/>
    </row>
    <row r="28" spans="1:7" x14ac:dyDescent="0.25">
      <c r="A28" s="1"/>
      <c r="B28" s="24" t="s">
        <v>252</v>
      </c>
      <c r="C28" s="21">
        <v>46505</v>
      </c>
      <c r="D28" s="14" t="s">
        <v>3</v>
      </c>
      <c r="E28" s="9">
        <v>0</v>
      </c>
      <c r="F28" s="14" t="s">
        <v>3</v>
      </c>
      <c r="G28" s="1"/>
    </row>
    <row r="29" spans="1:7" ht="26.25" x14ac:dyDescent="0.25">
      <c r="A29" s="1"/>
      <c r="B29" s="134" t="s">
        <v>253</v>
      </c>
      <c r="C29" s="21">
        <v>39162</v>
      </c>
      <c r="D29" s="14" t="s">
        <v>3</v>
      </c>
      <c r="E29" s="9">
        <v>0</v>
      </c>
      <c r="F29" s="14" t="s">
        <v>3</v>
      </c>
      <c r="G29" s="1"/>
    </row>
    <row r="30" spans="1:7" x14ac:dyDescent="0.25">
      <c r="A30" s="1"/>
      <c r="B30" s="24"/>
      <c r="C30" s="21"/>
      <c r="D30" s="14" t="s">
        <v>3</v>
      </c>
      <c r="E30" s="9"/>
      <c r="F30" s="14" t="s">
        <v>3</v>
      </c>
      <c r="G30" s="1"/>
    </row>
    <row r="31" spans="1:7" x14ac:dyDescent="0.25">
      <c r="A31" s="1"/>
      <c r="B31" s="33" t="s">
        <v>140</v>
      </c>
      <c r="C31" s="12">
        <f>SUM(C10:C30)</f>
        <v>409117</v>
      </c>
      <c r="D31" s="13" t="s">
        <v>3</v>
      </c>
      <c r="E31" s="12">
        <f>SUM(E10:E30)</f>
        <v>3480051</v>
      </c>
      <c r="F31" s="13" t="s">
        <v>3</v>
      </c>
      <c r="G31" s="1"/>
    </row>
    <row r="32" spans="1:7" x14ac:dyDescent="0.25">
      <c r="A32" s="1"/>
      <c r="B32" s="33" t="s">
        <v>176</v>
      </c>
      <c r="C32" s="12">
        <f>C31*(1+'Fane 15. Nøgletal'!C10)</f>
        <v>436241.4571</v>
      </c>
      <c r="D32" s="13" t="s">
        <v>3</v>
      </c>
      <c r="E32" s="12">
        <f>E31*(1+'Fane 15. Nøgletal'!C10)</f>
        <v>3710778.3813</v>
      </c>
      <c r="F32" s="13" t="s">
        <v>3</v>
      </c>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x14ac:dyDescent="0.25">
      <c r="A57" s="1"/>
      <c r="B57" s="1"/>
      <c r="C57" s="1"/>
      <c r="D57" s="1"/>
      <c r="E57" s="1"/>
      <c r="F57" s="1"/>
      <c r="G57" s="1"/>
    </row>
    <row r="58" spans="1:7" x14ac:dyDescent="0.25">
      <c r="A58" s="1"/>
      <c r="B58" s="1"/>
      <c r="C58" s="1"/>
      <c r="D58" s="1"/>
      <c r="E58" s="1"/>
      <c r="F58" s="1"/>
      <c r="G58" s="1"/>
    </row>
    <row r="59" spans="1:7" x14ac:dyDescent="0.25">
      <c r="A59" s="1"/>
      <c r="B59" s="1"/>
      <c r="C59" s="1"/>
      <c r="D59" s="1"/>
      <c r="E59" s="1"/>
      <c r="F59" s="1"/>
      <c r="G59" s="1"/>
    </row>
    <row r="60" spans="1:7" x14ac:dyDescent="0.25">
      <c r="A60" s="1"/>
      <c r="B60" s="1"/>
      <c r="C60" s="1"/>
      <c r="D60" s="1"/>
      <c r="E60" s="1"/>
      <c r="F60" s="1"/>
      <c r="G60" s="1"/>
    </row>
    <row r="61" spans="1:7" x14ac:dyDescent="0.25">
      <c r="A61" s="1"/>
      <c r="B61" s="1"/>
      <c r="C61" s="1"/>
      <c r="D61" s="1"/>
      <c r="E61" s="1"/>
      <c r="F61" s="1"/>
      <c r="G61" s="1"/>
    </row>
  </sheetData>
  <sheetProtection algorithmName="SHA-512" hashValue="ovADU0zMDKMcCcN4ATIQA3RFIgaNX3Qdv5jiIB12/SPZa02KUhKqOf5PFgbvvu7hsulnJOkr0j4DzG/LsU0MsA==" saltValue="LKSHdJSRn8sDXoC1t5KsU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116</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2" t="s">
        <v>177</v>
      </c>
      <c r="C8" s="113"/>
      <c r="D8" s="113"/>
      <c r="E8" s="113"/>
      <c r="F8" s="114"/>
      <c r="G8" s="1"/>
    </row>
    <row r="9" spans="1:7" x14ac:dyDescent="0.25">
      <c r="A9" s="1"/>
      <c r="B9" s="81" t="s">
        <v>17</v>
      </c>
      <c r="C9" s="83" t="s">
        <v>11</v>
      </c>
      <c r="D9" s="82"/>
      <c r="E9" s="83" t="s">
        <v>27</v>
      </c>
      <c r="F9" s="32"/>
      <c r="G9" s="1"/>
    </row>
    <row r="10" spans="1:7" x14ac:dyDescent="0.25">
      <c r="A10" s="1"/>
      <c r="B10" s="24" t="s">
        <v>252</v>
      </c>
      <c r="C10" s="21">
        <v>1395163</v>
      </c>
      <c r="D10" s="14" t="s">
        <v>3</v>
      </c>
      <c r="E10" s="9">
        <v>0</v>
      </c>
      <c r="F10" s="14" t="s">
        <v>3</v>
      </c>
      <c r="G10" s="1"/>
    </row>
    <row r="11" spans="1:7" ht="26.25" x14ac:dyDescent="0.25">
      <c r="A11" s="1"/>
      <c r="B11" s="134" t="s">
        <v>253</v>
      </c>
      <c r="C11" s="21">
        <v>195812</v>
      </c>
      <c r="D11" s="14" t="s">
        <v>3</v>
      </c>
      <c r="E11" s="9">
        <v>0</v>
      </c>
      <c r="F11" s="14" t="s">
        <v>3</v>
      </c>
      <c r="G11" s="1"/>
    </row>
    <row r="12" spans="1:7" x14ac:dyDescent="0.25">
      <c r="A12" s="1"/>
      <c r="B12" s="24"/>
      <c r="C12" s="21"/>
      <c r="D12" s="14" t="s">
        <v>3</v>
      </c>
      <c r="E12" s="9"/>
      <c r="F12" s="14" t="s">
        <v>3</v>
      </c>
      <c r="G12" s="1"/>
    </row>
    <row r="13" spans="1:7" x14ac:dyDescent="0.25">
      <c r="A13" s="1"/>
      <c r="B13" s="33" t="s">
        <v>178</v>
      </c>
      <c r="C13" s="12">
        <f>SUM(C10:C12)</f>
        <v>1590975</v>
      </c>
      <c r="D13" s="13" t="s">
        <v>3</v>
      </c>
      <c r="E13" s="12">
        <f>SUM(E10:E12)</f>
        <v>0</v>
      </c>
      <c r="F13" s="13" t="s">
        <v>3</v>
      </c>
      <c r="G13" s="1"/>
    </row>
    <row r="14" spans="1:7" x14ac:dyDescent="0.25">
      <c r="A14" s="1"/>
      <c r="B14" s="33" t="s">
        <v>179</v>
      </c>
      <c r="C14" s="12">
        <f>C13*(1+'Fane 15. Nøgletal'!C10)^2</f>
        <v>1808931.71789775</v>
      </c>
      <c r="D14" s="13" t="s">
        <v>3</v>
      </c>
      <c r="E14" s="12">
        <f>E13*(1+'Fane 15. Nøgletal'!C10)^2</f>
        <v>0</v>
      </c>
      <c r="F14" s="13" t="s">
        <v>3</v>
      </c>
      <c r="G14" s="1"/>
    </row>
    <row r="15" spans="1:7" x14ac:dyDescent="0.25">
      <c r="A15" s="1"/>
      <c r="B15" s="1"/>
      <c r="C15" s="1"/>
      <c r="D15" s="1"/>
      <c r="E15" s="1"/>
      <c r="F15" s="1"/>
      <c r="G15" s="1"/>
    </row>
    <row r="16" spans="1:7" x14ac:dyDescent="0.25">
      <c r="A16" s="1"/>
      <c r="B16" s="131"/>
      <c r="C16" s="131"/>
      <c r="D16" s="131"/>
      <c r="E16" s="131"/>
      <c r="F16" s="131"/>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31"/>
      <c r="C29" s="131"/>
      <c r="D29" s="131"/>
      <c r="E29" s="131"/>
      <c r="F29" s="131"/>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lOzB11jnB73VK8D4JO60h764+kduOLa6B+oBpDs10x4mBo/UEv6rpHwMpwShObPDyOwvTN2gDvV7l8CiHwyj8A==" saltValue="jcgq719HBkisJG/51Tj7gA=="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1" t="s">
        <v>117</v>
      </c>
      <c r="C3" s="111"/>
      <c r="D3" s="111"/>
      <c r="E3" s="1"/>
    </row>
    <row r="4" spans="1:5" ht="15" customHeight="1" x14ac:dyDescent="0.25">
      <c r="A4" s="1"/>
      <c r="B4" s="111"/>
      <c r="C4" s="111"/>
      <c r="D4" s="111"/>
      <c r="E4" s="1"/>
    </row>
    <row r="5" spans="1:5" x14ac:dyDescent="0.25">
      <c r="A5" s="1"/>
      <c r="B5" s="111"/>
      <c r="C5" s="111"/>
      <c r="D5" s="111"/>
      <c r="E5" s="1"/>
    </row>
    <row r="6" spans="1:5" x14ac:dyDescent="0.25">
      <c r="A6" s="1"/>
      <c r="B6" s="1"/>
      <c r="C6" s="1"/>
      <c r="D6" s="1"/>
      <c r="E6" s="1"/>
    </row>
    <row r="7" spans="1:5" x14ac:dyDescent="0.25">
      <c r="A7" s="1"/>
      <c r="B7" s="1"/>
      <c r="C7" s="1"/>
      <c r="D7" s="1"/>
      <c r="E7" s="1"/>
    </row>
    <row r="8" spans="1:5" ht="14.25" customHeight="1" x14ac:dyDescent="0.25">
      <c r="A8" s="1"/>
      <c r="B8" s="112" t="s">
        <v>74</v>
      </c>
      <c r="C8" s="113"/>
      <c r="D8" s="114"/>
      <c r="E8" s="1"/>
    </row>
    <row r="9" spans="1:5" x14ac:dyDescent="0.25">
      <c r="A9" s="1"/>
      <c r="B9" s="69" t="s">
        <v>180</v>
      </c>
      <c r="C9" s="9"/>
      <c r="D9" s="14" t="s">
        <v>3</v>
      </c>
      <c r="E9" s="1"/>
    </row>
    <row r="10" spans="1:5" x14ac:dyDescent="0.25">
      <c r="A10" s="1"/>
      <c r="B10" s="65" t="s">
        <v>10</v>
      </c>
      <c r="C10" s="9">
        <f>-C9*'Fane 5. Individuelt eff. krav'!C9</f>
        <v>0</v>
      </c>
      <c r="D10" s="14" t="s">
        <v>3</v>
      </c>
      <c r="E10" s="1"/>
    </row>
    <row r="11" spans="1:5" x14ac:dyDescent="0.25">
      <c r="A11" s="1"/>
      <c r="B11" s="65" t="s">
        <v>22</v>
      </c>
      <c r="C11" s="9">
        <f>-C9*'Fane 15. Nøgletal'!C21</f>
        <v>0</v>
      </c>
      <c r="D11" s="14" t="s">
        <v>3</v>
      </c>
      <c r="E11" s="1"/>
    </row>
    <row r="12" spans="1:5" x14ac:dyDescent="0.25">
      <c r="A12" s="1"/>
      <c r="B12" s="77" t="s">
        <v>75</v>
      </c>
      <c r="C12" s="12">
        <f>SUM(C9:C11)*(1+'Fane 15. Nøgletal'!C9)^2</f>
        <v>0</v>
      </c>
      <c r="D12" s="13" t="s">
        <v>3</v>
      </c>
      <c r="E12" s="1"/>
    </row>
    <row r="13" spans="1:5" x14ac:dyDescent="0.25">
      <c r="A13" s="1"/>
      <c r="B13" s="1"/>
      <c r="C13" s="1"/>
      <c r="D13" s="1"/>
      <c r="E13" s="1"/>
    </row>
    <row r="14" spans="1:5" ht="15" customHeight="1" x14ac:dyDescent="0.25">
      <c r="A14" s="1"/>
      <c r="B14" s="112" t="s">
        <v>85</v>
      </c>
      <c r="C14" s="113"/>
      <c r="D14" s="114"/>
      <c r="E14" s="1"/>
    </row>
    <row r="15" spans="1:5" x14ac:dyDescent="0.25">
      <c r="A15" s="1"/>
      <c r="B15" s="69" t="s">
        <v>180</v>
      </c>
      <c r="C15" s="9"/>
      <c r="D15" s="14" t="s">
        <v>3</v>
      </c>
      <c r="E15" s="1"/>
    </row>
    <row r="16" spans="1:5" x14ac:dyDescent="0.25">
      <c r="A16" s="1"/>
      <c r="B16" s="65" t="s">
        <v>10</v>
      </c>
      <c r="C16" s="9">
        <f>-C15*'Fane 5. Individuelt eff. krav'!C9</f>
        <v>0</v>
      </c>
      <c r="D16" s="14" t="s">
        <v>3</v>
      </c>
      <c r="E16" s="1"/>
    </row>
    <row r="17" spans="1:5" x14ac:dyDescent="0.25">
      <c r="A17" s="1"/>
      <c r="B17" s="65" t="s">
        <v>22</v>
      </c>
      <c r="C17" s="9">
        <f>-C15*'Fane 15. Nøgletal'!C21</f>
        <v>0</v>
      </c>
      <c r="D17" s="14" t="s">
        <v>3</v>
      </c>
      <c r="E17" s="1"/>
    </row>
    <row r="18" spans="1:5" x14ac:dyDescent="0.25">
      <c r="A18" s="1"/>
      <c r="B18" s="77" t="s">
        <v>86</v>
      </c>
      <c r="C18" s="12">
        <f>SUM(C15:C17)*(1+'Fane 15. Nøgletal'!C10)^3</f>
        <v>0</v>
      </c>
      <c r="D18" s="13" t="s">
        <v>3</v>
      </c>
      <c r="E18" s="1"/>
    </row>
    <row r="19" spans="1:5" x14ac:dyDescent="0.25">
      <c r="A19" s="1"/>
      <c r="B19" s="1"/>
      <c r="C19" s="1"/>
      <c r="D19" s="1"/>
      <c r="E19" s="1"/>
    </row>
    <row r="20" spans="1:5" ht="15" customHeight="1" x14ac:dyDescent="0.25">
      <c r="A20" s="1"/>
      <c r="B20" s="112" t="s">
        <v>141</v>
      </c>
      <c r="C20" s="113"/>
      <c r="D20" s="114"/>
      <c r="E20" s="1"/>
    </row>
    <row r="21" spans="1:5" x14ac:dyDescent="0.25">
      <c r="A21" s="1"/>
      <c r="B21" s="69" t="s">
        <v>180</v>
      </c>
      <c r="C21" s="9"/>
      <c r="D21" s="14" t="s">
        <v>3</v>
      </c>
      <c r="E21" s="1"/>
    </row>
    <row r="22" spans="1:5" x14ac:dyDescent="0.25">
      <c r="A22" s="1"/>
      <c r="B22" s="65" t="s">
        <v>10</v>
      </c>
      <c r="C22" s="9">
        <f>-C21*'Fane 5. Individuelt eff. krav'!C9</f>
        <v>0</v>
      </c>
      <c r="D22" s="14" t="s">
        <v>3</v>
      </c>
      <c r="E22" s="1"/>
    </row>
    <row r="23" spans="1:5" x14ac:dyDescent="0.25">
      <c r="A23" s="1"/>
      <c r="B23" s="65" t="s">
        <v>22</v>
      </c>
      <c r="C23" s="9">
        <f>-C21*'Fane 15. Nøgletal'!C21</f>
        <v>0</v>
      </c>
      <c r="D23" s="14" t="s">
        <v>3</v>
      </c>
      <c r="E23" s="1"/>
    </row>
    <row r="24" spans="1:5" x14ac:dyDescent="0.25">
      <c r="A24" s="1"/>
      <c r="B24" s="77" t="s">
        <v>142</v>
      </c>
      <c r="C24" s="12">
        <f>SUM(C21:C23)*(1+'Fane 15. Nøgletal'!C10)^4</f>
        <v>0</v>
      </c>
      <c r="D24" s="13" t="s">
        <v>3</v>
      </c>
      <c r="E24" s="1"/>
    </row>
    <row r="25" spans="1:5" x14ac:dyDescent="0.25">
      <c r="A25" s="1"/>
      <c r="B25" s="1"/>
      <c r="C25" s="1"/>
      <c r="D25" s="1"/>
      <c r="E25" s="1"/>
    </row>
    <row r="26" spans="1:5" ht="15" customHeight="1" x14ac:dyDescent="0.25">
      <c r="A26" s="1"/>
      <c r="B26" s="112" t="s">
        <v>181</v>
      </c>
      <c r="C26" s="113"/>
      <c r="D26" s="114"/>
      <c r="E26" s="1"/>
    </row>
    <row r="27" spans="1:5" ht="14.25" customHeight="1" x14ac:dyDescent="0.25">
      <c r="A27" s="1"/>
      <c r="B27" s="69" t="s">
        <v>180</v>
      </c>
      <c r="C27" s="9"/>
      <c r="D27" s="14" t="s">
        <v>3</v>
      </c>
      <c r="E27" s="1"/>
    </row>
    <row r="28" spans="1:5" x14ac:dyDescent="0.25">
      <c r="A28" s="1"/>
      <c r="B28" s="65" t="s">
        <v>10</v>
      </c>
      <c r="C28" s="9">
        <f>-C27*'Fane 5. Individuelt eff. krav'!C9</f>
        <v>0</v>
      </c>
      <c r="D28" s="14" t="s">
        <v>3</v>
      </c>
      <c r="E28" s="1"/>
    </row>
    <row r="29" spans="1:5" x14ac:dyDescent="0.25">
      <c r="A29" s="1"/>
      <c r="B29" s="65" t="s">
        <v>22</v>
      </c>
      <c r="C29" s="9">
        <f>-C27*'Fane 15. Nøgletal'!C21</f>
        <v>0</v>
      </c>
      <c r="D29" s="14" t="s">
        <v>3</v>
      </c>
      <c r="E29" s="1"/>
    </row>
    <row r="30" spans="1:5" x14ac:dyDescent="0.25">
      <c r="A30" s="1"/>
      <c r="B30" s="77" t="s">
        <v>182</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ALvJMJEgOQehmuAOeV7rjEjzQg+BJneJFNCzqnWjPNtf4v3g8KM1NJ50NXjUJL1fFnG2CYfQRUJomQ3JF5gpXQ==" saltValue="n4cbvGvMDOtro3kLVRbDUA=="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118</v>
      </c>
      <c r="C3" s="111"/>
      <c r="D3" s="111"/>
      <c r="E3" s="111"/>
      <c r="F3" s="111"/>
      <c r="G3" s="1"/>
    </row>
    <row r="4" spans="1:7" ht="15" customHeight="1" x14ac:dyDescent="0.25">
      <c r="A4" s="1"/>
      <c r="B4" s="111"/>
      <c r="C4" s="111"/>
      <c r="D4" s="111"/>
      <c r="E4" s="111"/>
      <c r="F4" s="111"/>
      <c r="G4" s="1"/>
    </row>
    <row r="5" spans="1:7" x14ac:dyDescent="0.25">
      <c r="A5" s="1"/>
      <c r="B5" s="111"/>
      <c r="C5" s="111"/>
      <c r="D5" s="111"/>
      <c r="E5" s="111"/>
      <c r="F5" s="111"/>
      <c r="G5" s="1"/>
    </row>
    <row r="6" spans="1:7" x14ac:dyDescent="0.25">
      <c r="A6" s="1"/>
      <c r="B6" s="1"/>
      <c r="C6" s="1"/>
      <c r="D6" s="1"/>
      <c r="E6" s="1"/>
      <c r="F6" s="1"/>
      <c r="G6" s="1"/>
    </row>
    <row r="7" spans="1:7" x14ac:dyDescent="0.25">
      <c r="A7" s="1"/>
      <c r="B7" s="1"/>
      <c r="C7" s="1"/>
      <c r="D7" s="1"/>
      <c r="E7" s="1"/>
      <c r="F7" s="1"/>
      <c r="G7" s="1"/>
    </row>
    <row r="8" spans="1:7" x14ac:dyDescent="0.25">
      <c r="A8" s="1"/>
      <c r="B8" s="112" t="s">
        <v>67</v>
      </c>
      <c r="C8" s="113"/>
      <c r="D8" s="113"/>
      <c r="E8" s="113"/>
      <c r="F8" s="114"/>
      <c r="G8" s="1"/>
    </row>
    <row r="9" spans="1:7" ht="15" customHeight="1" x14ac:dyDescent="0.25">
      <c r="A9" s="1"/>
      <c r="B9" s="31" t="s">
        <v>68</v>
      </c>
      <c r="C9" s="27" t="s">
        <v>11</v>
      </c>
      <c r="D9" s="32"/>
      <c r="E9" s="27" t="s">
        <v>27</v>
      </c>
      <c r="F9" s="32"/>
      <c r="G9" s="1"/>
    </row>
    <row r="10" spans="1:7" ht="26.25" x14ac:dyDescent="0.25">
      <c r="A10" s="1"/>
      <c r="B10" s="71" t="s">
        <v>223</v>
      </c>
      <c r="C10" s="9">
        <v>0</v>
      </c>
      <c r="D10" s="14" t="s">
        <v>3</v>
      </c>
      <c r="E10" s="9">
        <v>0</v>
      </c>
      <c r="F10" s="14" t="s">
        <v>3</v>
      </c>
      <c r="G10" s="1"/>
    </row>
    <row r="11" spans="1:7" ht="28.5" customHeight="1" x14ac:dyDescent="0.25">
      <c r="A11" s="1"/>
      <c r="B11" s="20" t="s">
        <v>143</v>
      </c>
      <c r="C11" s="12">
        <f>SUM(C10:C10)</f>
        <v>0</v>
      </c>
      <c r="D11" s="13" t="s">
        <v>3</v>
      </c>
      <c r="E11" s="12">
        <f>SUM(E10:E10)</f>
        <v>0</v>
      </c>
      <c r="F11" s="13" t="s">
        <v>3</v>
      </c>
      <c r="G11" s="1"/>
    </row>
    <row r="12" spans="1:7" ht="27" customHeight="1" x14ac:dyDescent="0.25">
      <c r="A12" s="1"/>
      <c r="B12" s="20" t="s">
        <v>183</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DOM0BjNFe/QYLDCsr+CgomNu+hfCoJKsP15AaaEBRbDGDLci2doHZ6M23cbkD9gSN9u94Msj0+GbPAcF2+uD1w==" saltValue="VPfpW0BGoojsS067OytEMw=="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119</v>
      </c>
      <c r="C3" s="111"/>
      <c r="D3" s="111"/>
      <c r="E3" s="111"/>
      <c r="F3" s="111"/>
      <c r="G3" s="1"/>
    </row>
    <row r="4" spans="1:7" ht="15" customHeight="1" x14ac:dyDescent="0.25">
      <c r="A4" s="1"/>
      <c r="B4" s="111"/>
      <c r="C4" s="111"/>
      <c r="D4" s="111"/>
      <c r="E4" s="111"/>
      <c r="F4" s="111"/>
      <c r="G4" s="1"/>
    </row>
    <row r="5" spans="1:7" x14ac:dyDescent="0.25">
      <c r="A5" s="1"/>
      <c r="B5" s="111"/>
      <c r="C5" s="111"/>
      <c r="D5" s="111"/>
      <c r="E5" s="111"/>
      <c r="F5" s="111"/>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12" t="s">
        <v>184</v>
      </c>
      <c r="C8" s="113"/>
      <c r="D8" s="113"/>
      <c r="E8" s="113"/>
      <c r="F8" s="114"/>
      <c r="G8" s="1"/>
    </row>
    <row r="9" spans="1:7" x14ac:dyDescent="0.25">
      <c r="A9" s="1"/>
      <c r="B9" s="31" t="s">
        <v>18</v>
      </c>
      <c r="C9" s="132" t="s">
        <v>11</v>
      </c>
      <c r="D9" s="133"/>
      <c r="E9" s="132" t="s">
        <v>27</v>
      </c>
      <c r="F9" s="133"/>
      <c r="G9" s="1"/>
    </row>
    <row r="10" spans="1:7" x14ac:dyDescent="0.25">
      <c r="A10" s="1"/>
      <c r="B10" s="71" t="s">
        <v>224</v>
      </c>
      <c r="C10" s="9">
        <v>0</v>
      </c>
      <c r="D10" s="14" t="s">
        <v>3</v>
      </c>
      <c r="E10" s="9">
        <v>0</v>
      </c>
      <c r="F10" s="14" t="s">
        <v>3</v>
      </c>
      <c r="G10" s="1"/>
    </row>
    <row r="11" spans="1:7" x14ac:dyDescent="0.25">
      <c r="A11" s="1"/>
      <c r="B11" s="33" t="s">
        <v>144</v>
      </c>
      <c r="C11" s="12">
        <f>SUM(C10:C10)</f>
        <v>0</v>
      </c>
      <c r="D11" s="13" t="s">
        <v>3</v>
      </c>
      <c r="E11" s="12">
        <f>SUM(E10:E10)</f>
        <v>0</v>
      </c>
      <c r="F11" s="13" t="s">
        <v>3</v>
      </c>
      <c r="G11" s="1"/>
    </row>
    <row r="12" spans="1:7" x14ac:dyDescent="0.25">
      <c r="A12" s="1"/>
      <c r="B12" s="33" t="s">
        <v>217</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31"/>
      <c r="C14" s="131"/>
      <c r="D14" s="131"/>
      <c r="E14" s="131"/>
      <c r="F14" s="131"/>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31"/>
      <c r="C21" s="131"/>
      <c r="D21" s="131"/>
      <c r="E21" s="131"/>
      <c r="F21" s="131"/>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31"/>
      <c r="C27" s="131"/>
      <c r="D27" s="131"/>
      <c r="E27" s="131"/>
      <c r="F27" s="131"/>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VC3hiqSQkqWGCWv4cXVlqx3MRWB7tn5LCJWdMlYqfk+WDRHxw5IEyBLqmR9iOKIRG5olORymXdxNDPTX6EEE3g==" saltValue="fJTgzRFd5kX53hjWQP/nfA=="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156</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91</v>
      </c>
      <c r="C9" s="7">
        <f>'Fane 3. Omkostninger i ØR2024'!C20</f>
        <v>128621325.97249804</v>
      </c>
      <c r="D9" s="8" t="s">
        <v>3</v>
      </c>
      <c r="E9" s="1"/>
    </row>
    <row r="10" spans="1:5" ht="17.25" customHeight="1" x14ac:dyDescent="0.25">
      <c r="A10" s="1"/>
      <c r="B10" s="65" t="s">
        <v>35</v>
      </c>
      <c r="C10" s="7">
        <f>'Fane 11.1. Varige tillæg'!C32</f>
        <v>436241.4571</v>
      </c>
      <c r="D10" s="8" t="s">
        <v>3</v>
      </c>
      <c r="E10" s="1"/>
    </row>
    <row r="11" spans="1:5" ht="17.25" customHeight="1" x14ac:dyDescent="0.25">
      <c r="A11" s="1"/>
      <c r="B11" s="65" t="s">
        <v>36</v>
      </c>
      <c r="C11" s="9">
        <f>'Fane 11.1. Varige tillæg'!E32</f>
        <v>3710778.3813</v>
      </c>
      <c r="D11" s="8" t="s">
        <v>3</v>
      </c>
      <c r="E11" s="1"/>
    </row>
    <row r="12" spans="1:5" ht="17.25" customHeight="1" x14ac:dyDescent="0.25">
      <c r="A12" s="1"/>
      <c r="B12" s="65" t="s">
        <v>25</v>
      </c>
      <c r="C12" s="9">
        <f>-'Fane 14. Bortfald'!C12</f>
        <v>0</v>
      </c>
      <c r="D12" s="8" t="s">
        <v>3</v>
      </c>
      <c r="E12" s="1"/>
    </row>
    <row r="13" spans="1:5" ht="17.25" customHeight="1" x14ac:dyDescent="0.25">
      <c r="A13" s="1"/>
      <c r="B13" s="65" t="s">
        <v>24</v>
      </c>
      <c r="C13" s="9">
        <f>-'Fane 14. Bortfald'!E12</f>
        <v>0</v>
      </c>
      <c r="D13" s="8" t="s">
        <v>3</v>
      </c>
      <c r="E13" s="1"/>
    </row>
    <row r="14" spans="1:5" ht="17.25" customHeight="1" x14ac:dyDescent="0.25">
      <c r="A14" s="1"/>
      <c r="B14" s="65" t="s">
        <v>63</v>
      </c>
      <c r="C14" s="9">
        <f>'Fane 13. Tilknyttet virksomhed'!C12</f>
        <v>0</v>
      </c>
      <c r="D14" s="8" t="s">
        <v>3</v>
      </c>
      <c r="E14" s="1"/>
    </row>
    <row r="15" spans="1:5" ht="17.25" customHeight="1" x14ac:dyDescent="0.25">
      <c r="A15" s="1"/>
      <c r="B15" s="65" t="s">
        <v>64</v>
      </c>
      <c r="C15" s="9">
        <f>'Fane 13. Tilknyttet virksomhed'!E12</f>
        <v>0</v>
      </c>
      <c r="D15" s="8" t="s">
        <v>3</v>
      </c>
      <c r="E15" s="1"/>
    </row>
    <row r="16" spans="1:5" ht="17.25" customHeight="1" x14ac:dyDescent="0.25">
      <c r="A16" s="1"/>
      <c r="B16" s="65" t="s">
        <v>19</v>
      </c>
      <c r="C16" s="38">
        <f>SUM(C9)*'Fane 15. Nøgletal'!C9+SUM(C10:C11,C14:C15)*'Fane 15. Nøgletal'!C10</f>
        <v>10667550.553863762</v>
      </c>
      <c r="D16" s="8" t="s">
        <v>3</v>
      </c>
      <c r="E16" s="1"/>
    </row>
    <row r="17" spans="1:5" ht="17.25" customHeight="1" x14ac:dyDescent="0.25">
      <c r="A17" s="1"/>
      <c r="B17" s="65" t="s">
        <v>10</v>
      </c>
      <c r="C17" s="38">
        <f>-SUM(C9,C10:C16)*'Fane 5. Individuelt eff. krav'!C9</f>
        <v>0</v>
      </c>
      <c r="D17" s="8" t="s">
        <v>3</v>
      </c>
      <c r="E17" s="1"/>
    </row>
    <row r="18" spans="1:5" ht="17.25" customHeight="1" x14ac:dyDescent="0.25">
      <c r="A18" s="1"/>
      <c r="B18" s="65" t="s">
        <v>22</v>
      </c>
      <c r="C18" s="38">
        <f>-'Fane 4.1. Gen. krav - drift'!C17</f>
        <v>-489147.62573887978</v>
      </c>
      <c r="D18" s="8" t="s">
        <v>3</v>
      </c>
      <c r="E18" s="1"/>
    </row>
    <row r="19" spans="1:5" ht="17.25" customHeight="1" x14ac:dyDescent="0.25">
      <c r="A19" s="1"/>
      <c r="B19" s="65" t="s">
        <v>23</v>
      </c>
      <c r="C19" s="38">
        <f>-'Fane 4.2. Gen. krav - anlæg'!C17</f>
        <v>0</v>
      </c>
      <c r="D19" s="8" t="s">
        <v>3</v>
      </c>
      <c r="E19" s="43"/>
    </row>
    <row r="20" spans="1:5" ht="17.25" customHeight="1" x14ac:dyDescent="0.25">
      <c r="A20" s="1"/>
      <c r="B20" s="83" t="s">
        <v>21</v>
      </c>
      <c r="C20" s="10">
        <f>SUM(C9:C19)</f>
        <v>142946748.73902291</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42910681.775240868</v>
      </c>
      <c r="D22" s="11" t="s">
        <v>3</v>
      </c>
      <c r="E22" s="1"/>
    </row>
    <row r="23" spans="1:5" ht="15" customHeight="1" x14ac:dyDescent="0.25">
      <c r="A23" s="1"/>
      <c r="B23" s="33" t="s">
        <v>43</v>
      </c>
      <c r="C23" s="28"/>
      <c r="D23" s="19"/>
      <c r="E23" s="1"/>
    </row>
    <row r="24" spans="1:5" ht="15" customHeight="1" x14ac:dyDescent="0.25">
      <c r="A24" s="1"/>
      <c r="B24" s="83" t="s">
        <v>43</v>
      </c>
      <c r="C24" s="10">
        <f>'Fane 12. Periodevise driftsomk.'!C12</f>
        <v>0</v>
      </c>
      <c r="D24" s="11" t="s">
        <v>3</v>
      </c>
      <c r="E24" s="1"/>
    </row>
    <row r="25" spans="1:5" ht="15" customHeight="1" x14ac:dyDescent="0.25">
      <c r="A25" s="1"/>
      <c r="B25" s="41" t="s">
        <v>42</v>
      </c>
      <c r="C25" s="39"/>
      <c r="D25" s="40"/>
      <c r="E25" s="1"/>
    </row>
    <row r="26" spans="1:5" ht="15" customHeight="1" x14ac:dyDescent="0.25">
      <c r="A26" s="1"/>
      <c r="B26" s="65" t="s">
        <v>90</v>
      </c>
      <c r="C26" s="38">
        <f>'Fane 11.2. Engangstillæg'!C14</f>
        <v>1808931.71789775</v>
      </c>
      <c r="D26" s="8" t="s">
        <v>3</v>
      </c>
      <c r="E26" s="1"/>
    </row>
    <row r="27" spans="1:5" ht="15" customHeight="1" x14ac:dyDescent="0.25">
      <c r="A27" s="1"/>
      <c r="B27" s="65" t="s">
        <v>39</v>
      </c>
      <c r="C27" s="38">
        <f>'Fane 11.2. Engangstillæg'!E14</f>
        <v>0</v>
      </c>
      <c r="D27" s="8" t="s">
        <v>3</v>
      </c>
      <c r="E27" s="1"/>
    </row>
    <row r="28" spans="1:5" ht="15" customHeight="1" x14ac:dyDescent="0.25">
      <c r="A28" s="1"/>
      <c r="B28" s="65" t="s">
        <v>93</v>
      </c>
      <c r="C28" s="38">
        <f>-C26*('Fane 15. Nøgletal'!C21+'Fane 5. Individuelt eff. krav'!C9)</f>
        <v>-36178.634357955001</v>
      </c>
      <c r="D28" s="8" t="s">
        <v>3</v>
      </c>
      <c r="E28" s="1"/>
    </row>
    <row r="29" spans="1:5" ht="15" customHeight="1" x14ac:dyDescent="0.25">
      <c r="A29" s="1"/>
      <c r="B29" s="65" t="s">
        <v>94</v>
      </c>
      <c r="C29" s="38">
        <f>-C27*('Fane 15. Nøgletal'!C16+'Fane 5. Individuelt eff. krav'!C9)</f>
        <v>0</v>
      </c>
      <c r="D29" s="8" t="s">
        <v>3</v>
      </c>
      <c r="E29" s="1"/>
    </row>
    <row r="30" spans="1:5" ht="15" customHeight="1" x14ac:dyDescent="0.25">
      <c r="A30" s="1"/>
      <c r="B30" s="68" t="s">
        <v>44</v>
      </c>
      <c r="C30" s="10">
        <f>SUM(C26:C29)</f>
        <v>1772753.0835397949</v>
      </c>
      <c r="D30" s="11" t="s">
        <v>3</v>
      </c>
      <c r="E30" s="1"/>
    </row>
    <row r="31" spans="1:5" x14ac:dyDescent="0.25">
      <c r="A31" s="1"/>
      <c r="B31" s="33" t="s">
        <v>70</v>
      </c>
      <c r="C31" s="28"/>
      <c r="D31" s="19"/>
      <c r="E31" s="1"/>
    </row>
    <row r="32" spans="1:5" x14ac:dyDescent="0.25">
      <c r="A32" s="1"/>
      <c r="B32" s="31" t="s">
        <v>80</v>
      </c>
      <c r="C32" s="62">
        <f>'Fane 7. Kontrol af ØR2023'!C27</f>
        <v>0</v>
      </c>
      <c r="D32" s="11" t="s">
        <v>3</v>
      </c>
      <c r="E32" s="1"/>
    </row>
    <row r="33" spans="1:5" ht="15" customHeight="1" x14ac:dyDescent="0.25">
      <c r="A33" s="1"/>
      <c r="B33" s="33" t="s">
        <v>155</v>
      </c>
      <c r="C33" s="28"/>
      <c r="D33" s="19"/>
      <c r="E33" s="1"/>
    </row>
    <row r="34" spans="1:5" x14ac:dyDescent="0.25">
      <c r="A34" s="1"/>
      <c r="B34" s="31" t="s">
        <v>155</v>
      </c>
      <c r="C34" s="10">
        <f>'Fane 9. Korrektion af ØR2023'!C16</f>
        <v>-1228253</v>
      </c>
      <c r="D34" s="11" t="s">
        <v>3</v>
      </c>
      <c r="E34" s="1"/>
    </row>
    <row r="35" spans="1:5" x14ac:dyDescent="0.25">
      <c r="A35" s="1"/>
      <c r="B35" s="30" t="s">
        <v>76</v>
      </c>
      <c r="C35" s="28"/>
      <c r="D35" s="19"/>
      <c r="E35" s="1"/>
    </row>
    <row r="36" spans="1:5" x14ac:dyDescent="0.25">
      <c r="A36" s="1"/>
      <c r="B36" s="68" t="s">
        <v>77</v>
      </c>
      <c r="C36" s="10">
        <f>'Fane 8. Skattesagen'!C14</f>
        <v>0</v>
      </c>
      <c r="D36" s="11" t="s">
        <v>3</v>
      </c>
      <c r="E36" s="1"/>
    </row>
    <row r="37" spans="1:5" x14ac:dyDescent="0.25">
      <c r="A37" s="1"/>
      <c r="B37" s="33" t="s">
        <v>72</v>
      </c>
      <c r="C37" s="45">
        <f>SUM(C34,C32,C24,C30,C22,C20,C36)</f>
        <v>186401930.59780356</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gOD29MwH1kGdVVNWEA0vnBLIaf0cJE3cGXqRrX/uI80OYHe9Ej8rZZZEZQv8/dPR4/gHqqzCa8rV2rJwJzCSTA==" saltValue="/+t8Kgq1AWNJpIWzQO//GQ=="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11" t="s">
        <v>120</v>
      </c>
      <c r="C3" s="111"/>
      <c r="D3" s="1"/>
    </row>
    <row r="4" spans="1:4" ht="15" customHeight="1" x14ac:dyDescent="0.25">
      <c r="A4" s="1"/>
      <c r="B4" s="111"/>
      <c r="C4" s="111"/>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123</v>
      </c>
      <c r="C9" s="61">
        <v>8.0799999999999997E-2</v>
      </c>
      <c r="D9" s="1"/>
    </row>
    <row r="10" spans="1:4" x14ac:dyDescent="0.25">
      <c r="A10" s="1"/>
      <c r="B10" s="59" t="s">
        <v>229</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51</v>
      </c>
      <c r="C14" s="19"/>
      <c r="D14" s="1"/>
    </row>
    <row r="15" spans="1:4" x14ac:dyDescent="0.25">
      <c r="A15" s="1"/>
      <c r="B15" s="59" t="s">
        <v>216</v>
      </c>
      <c r="C15" s="60">
        <v>0</v>
      </c>
      <c r="D15" s="1"/>
    </row>
    <row r="16" spans="1:4" x14ac:dyDescent="0.25">
      <c r="A16" s="1"/>
      <c r="B16" s="59" t="s">
        <v>230</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52</v>
      </c>
      <c r="C20" s="19"/>
      <c r="D20" s="1"/>
    </row>
    <row r="21" spans="1:4" x14ac:dyDescent="0.25">
      <c r="A21" s="1"/>
      <c r="B21" s="37" t="s">
        <v>60</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opdG7WJMhB2/xcXTOFONVNVvE5vXtmkgZ7yJymBWMAlJxn0y98IGE4jQkK5XssNkeodp/IckZEkWLERVrFrCaQ==" saltValue="RY1HtgkHSuIHAkj9I4kbZ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157</v>
      </c>
      <c r="C3" s="105"/>
      <c r="D3" s="105"/>
      <c r="E3" s="1"/>
    </row>
    <row r="4" spans="1:5" ht="15" customHeight="1" x14ac:dyDescent="0.25">
      <c r="A4" s="1"/>
      <c r="B4" s="105"/>
      <c r="C4" s="105"/>
      <c r="D4" s="105"/>
      <c r="E4" s="1"/>
    </row>
    <row r="5" spans="1:5" x14ac:dyDescent="0.25">
      <c r="A5" s="1"/>
      <c r="B5" s="106" t="s">
        <v>145</v>
      </c>
      <c r="C5" s="106"/>
      <c r="D5" s="106"/>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81</v>
      </c>
      <c r="C9" s="7">
        <f>'Fane 2.1. Økonomisk ramme 2025'!C20</f>
        <v>142946748.73902291</v>
      </c>
      <c r="D9" s="8" t="s">
        <v>3</v>
      </c>
      <c r="E9" s="1"/>
    </row>
    <row r="10" spans="1:5" ht="15" customHeight="1" x14ac:dyDescent="0.25">
      <c r="A10" s="1"/>
      <c r="B10" s="26" t="s">
        <v>19</v>
      </c>
      <c r="C10" s="7">
        <f>C9*'Fane 15. Nøgletal'!C10</f>
        <v>9477369.441397218</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-511146.5510588602</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151912971.62936127</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45596505.336839341</v>
      </c>
      <c r="D16" s="11" t="s">
        <v>3</v>
      </c>
      <c r="E16" s="1"/>
    </row>
    <row r="17" spans="1:5" ht="15" customHeight="1" x14ac:dyDescent="0.25">
      <c r="A17" s="1"/>
      <c r="B17" s="33" t="s">
        <v>43</v>
      </c>
      <c r="C17" s="28"/>
      <c r="D17" s="19"/>
      <c r="E17" s="1"/>
    </row>
    <row r="18" spans="1:5" ht="15" customHeight="1" x14ac:dyDescent="0.25">
      <c r="A18" s="1"/>
      <c r="B18" s="83" t="s">
        <v>43</v>
      </c>
      <c r="C18" s="10">
        <f>'Fane 12. Periodevise driftsomk.'!C18</f>
        <v>0</v>
      </c>
      <c r="D18" s="11" t="s">
        <v>3</v>
      </c>
      <c r="E18" s="1"/>
    </row>
    <row r="19" spans="1:5" x14ac:dyDescent="0.25">
      <c r="A19" s="1"/>
      <c r="B19" s="33" t="s">
        <v>70</v>
      </c>
      <c r="C19" s="28"/>
      <c r="D19" s="19"/>
      <c r="E19" s="1"/>
    </row>
    <row r="20" spans="1:5" ht="15" customHeight="1" x14ac:dyDescent="0.25">
      <c r="A20" s="1"/>
      <c r="B20" s="31" t="s">
        <v>80</v>
      </c>
      <c r="C20" s="10">
        <f>'Fane 7. Kontrol af ØR2023'!C33</f>
        <v>0</v>
      </c>
      <c r="D20" s="11" t="s">
        <v>3</v>
      </c>
      <c r="E20" s="1"/>
    </row>
    <row r="21" spans="1:5" x14ac:dyDescent="0.25">
      <c r="A21" s="1"/>
      <c r="B21" s="30" t="s">
        <v>76</v>
      </c>
      <c r="C21" s="28"/>
      <c r="D21" s="19"/>
      <c r="E21" s="1"/>
    </row>
    <row r="22" spans="1:5" x14ac:dyDescent="0.25">
      <c r="A22" s="1"/>
      <c r="B22" s="68" t="s">
        <v>77</v>
      </c>
      <c r="C22" s="10">
        <f>'Fane 8. Skattesagen'!C15</f>
        <v>0</v>
      </c>
      <c r="D22" s="11" t="s">
        <v>3</v>
      </c>
      <c r="E22" s="1"/>
    </row>
    <row r="23" spans="1:5" x14ac:dyDescent="0.25">
      <c r="A23" s="1"/>
      <c r="B23" s="33" t="s">
        <v>82</v>
      </c>
      <c r="C23" s="12">
        <f>SUM(C14,C16,C18,C20,C22)</f>
        <v>197509476.96620062</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WFqR12gFUzYr8vGSkz4Ow7KzL60ZIBm5+QVmegs5GaHVthYDsjvluksYjT5r90t/zY+/Xh/UxJ0TIKb+DRHbFg==" saltValue="sscZ/6Ofs6BIwbm36umUbg=="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158</v>
      </c>
      <c r="C3" s="105"/>
      <c r="D3" s="105"/>
      <c r="E3" s="1"/>
    </row>
    <row r="4" spans="1:5" ht="15" customHeight="1" x14ac:dyDescent="0.25">
      <c r="A4" s="1"/>
      <c r="B4" s="105"/>
      <c r="C4" s="105"/>
      <c r="D4" s="105"/>
      <c r="E4" s="1"/>
    </row>
    <row r="5" spans="1:5" x14ac:dyDescent="0.25">
      <c r="A5" s="1"/>
      <c r="B5" s="106" t="s">
        <v>145</v>
      </c>
      <c r="C5" s="106"/>
      <c r="D5" s="106"/>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130</v>
      </c>
      <c r="C9" s="7">
        <f>'Fane 2.2. Økonomisk ramme 2026'!C14</f>
        <v>151912971.62936127</v>
      </c>
      <c r="D9" s="8" t="s">
        <v>3</v>
      </c>
      <c r="E9" s="1"/>
    </row>
    <row r="10" spans="1:5" ht="15" customHeight="1" x14ac:dyDescent="0.25">
      <c r="A10" s="1"/>
      <c r="B10" s="26" t="s">
        <v>19</v>
      </c>
      <c r="C10" s="7">
        <f>SUM(C9:C9)*'Fane 15. Nøgletal'!C10</f>
        <v>10071830.019026652</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-534134.8560461814</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161450666.79234174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48460247.591871783</v>
      </c>
      <c r="D16" s="11" t="s">
        <v>3</v>
      </c>
      <c r="E16" s="1"/>
    </row>
    <row r="17" spans="1:5" ht="15" customHeight="1" x14ac:dyDescent="0.25">
      <c r="A17" s="1"/>
      <c r="B17" s="33" t="s">
        <v>43</v>
      </c>
      <c r="C17" s="28"/>
      <c r="D17" s="19"/>
      <c r="E17" s="1"/>
    </row>
    <row r="18" spans="1:5" ht="15" customHeight="1" x14ac:dyDescent="0.25">
      <c r="A18" s="1"/>
      <c r="B18" s="83" t="s">
        <v>43</v>
      </c>
      <c r="C18" s="10">
        <f>'Fane 12. Periodevise driftsomk.'!C24</f>
        <v>0</v>
      </c>
      <c r="D18" s="11" t="s">
        <v>3</v>
      </c>
      <c r="E18" s="1"/>
    </row>
    <row r="19" spans="1:5" ht="15" customHeight="1" x14ac:dyDescent="0.25">
      <c r="A19" s="1"/>
      <c r="B19" s="33" t="s">
        <v>70</v>
      </c>
      <c r="C19" s="28"/>
      <c r="D19" s="19"/>
      <c r="E19" s="1"/>
    </row>
    <row r="20" spans="1:5" ht="15" customHeight="1" x14ac:dyDescent="0.25">
      <c r="A20" s="1"/>
      <c r="B20" s="31" t="s">
        <v>80</v>
      </c>
      <c r="C20" s="10">
        <f>'Fane 7. Kontrol af ØR2023'!C33</f>
        <v>0</v>
      </c>
      <c r="D20" s="11" t="s">
        <v>3</v>
      </c>
      <c r="E20" s="1"/>
    </row>
    <row r="21" spans="1:5" x14ac:dyDescent="0.25">
      <c r="A21" s="1"/>
      <c r="B21" s="30" t="s">
        <v>76</v>
      </c>
      <c r="C21" s="28"/>
      <c r="D21" s="19"/>
      <c r="E21" s="1"/>
    </row>
    <row r="22" spans="1:5" x14ac:dyDescent="0.25">
      <c r="A22" s="1"/>
      <c r="B22" s="68" t="s">
        <v>77</v>
      </c>
      <c r="C22" s="10">
        <f>'Fane 8. Skattesagen'!C16</f>
        <v>0</v>
      </c>
      <c r="D22" s="11" t="s">
        <v>3</v>
      </c>
      <c r="E22" s="1"/>
    </row>
    <row r="23" spans="1:5" x14ac:dyDescent="0.25">
      <c r="A23" s="1"/>
      <c r="B23" s="33" t="s">
        <v>131</v>
      </c>
      <c r="C23" s="12">
        <f>SUM(C14,C16,C18,C20,C22)</f>
        <v>209910914.38421351</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bjDeSeDKz+rBSeZNZ0/eb2d61WN/PzIFT1uphP+KTdOHbv3l4opJ1B7auaiHxlrrkKYFcmIIucQvuA0yg4Fceg==" saltValue="enBo/rPx9bEIgGyjIh7+vQ=="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159</v>
      </c>
      <c r="C3" s="105"/>
      <c r="D3" s="105"/>
      <c r="E3" s="1"/>
    </row>
    <row r="4" spans="1:5" ht="15" customHeight="1" x14ac:dyDescent="0.25">
      <c r="A4" s="1"/>
      <c r="B4" s="105"/>
      <c r="C4" s="105"/>
      <c r="D4" s="105"/>
      <c r="E4" s="1"/>
    </row>
    <row r="5" spans="1:5" x14ac:dyDescent="0.25">
      <c r="A5" s="1"/>
      <c r="B5" s="106" t="s">
        <v>145</v>
      </c>
      <c r="C5" s="106"/>
      <c r="D5" s="106"/>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160</v>
      </c>
      <c r="C9" s="7">
        <f>'Fane 2.3. Økonomisk ramme 2027'!C14</f>
        <v>161450666.79234174</v>
      </c>
      <c r="D9" s="8" t="s">
        <v>3</v>
      </c>
      <c r="E9" s="1"/>
    </row>
    <row r="10" spans="1:5" ht="15" customHeight="1" x14ac:dyDescent="0.25">
      <c r="A10" s="1"/>
      <c r="B10" s="26" t="s">
        <v>19</v>
      </c>
      <c r="C10" s="7">
        <f>SUM(C9:C9)*'Fane 15. Nøgletal'!C10</f>
        <v>10704179.208332257</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-558157.03706200235</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171596688.96361202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49226559.306512892</v>
      </c>
      <c r="D16" s="11" t="s">
        <v>3</v>
      </c>
      <c r="E16" s="1"/>
    </row>
    <row r="17" spans="1:5" ht="15" customHeight="1" x14ac:dyDescent="0.25">
      <c r="A17" s="1"/>
      <c r="B17" s="33" t="s">
        <v>43</v>
      </c>
      <c r="C17" s="28"/>
      <c r="D17" s="19"/>
      <c r="E17" s="1"/>
    </row>
    <row r="18" spans="1:5" ht="15" customHeight="1" x14ac:dyDescent="0.25">
      <c r="A18" s="1"/>
      <c r="B18" s="83" t="s">
        <v>43</v>
      </c>
      <c r="C18" s="10">
        <f>'Fane 12. Periodevise driftsomk.'!C30</f>
        <v>0</v>
      </c>
      <c r="D18" s="11" t="s">
        <v>3</v>
      </c>
      <c r="E18" s="1"/>
    </row>
    <row r="19" spans="1:5" x14ac:dyDescent="0.25">
      <c r="A19" s="1"/>
      <c r="B19" s="30" t="s">
        <v>76</v>
      </c>
      <c r="C19" s="28"/>
      <c r="D19" s="19"/>
      <c r="E19" s="1"/>
    </row>
    <row r="20" spans="1:5" x14ac:dyDescent="0.25">
      <c r="A20" s="1"/>
      <c r="B20" s="68" t="s">
        <v>77</v>
      </c>
      <c r="C20" s="10">
        <f>'Fane 8. Skattesagen'!C17</f>
        <v>0</v>
      </c>
      <c r="D20" s="11" t="s">
        <v>3</v>
      </c>
      <c r="E20" s="1"/>
    </row>
    <row r="21" spans="1:5" x14ac:dyDescent="0.25">
      <c r="A21" s="1"/>
      <c r="B21" s="33" t="s">
        <v>161</v>
      </c>
      <c r="C21" s="12">
        <f>SUM(C14,C16,C18,C20)</f>
        <v>220823248.27012491</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cJ53Mj53iWj1WQlxYYVmQAcLnC5iLVMQpxPUgCWzEFydtbK2IowaGCGlqUDMJB0NJwD2RyQsqmZ/6hQ1t57U3g==" saltValue="a4569q/bx3eDwga0VX041g=="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11" t="s">
        <v>162</v>
      </c>
      <c r="C3" s="111"/>
      <c r="D3" s="111"/>
      <c r="E3" s="1"/>
    </row>
    <row r="4" spans="1:5" ht="15" customHeight="1" x14ac:dyDescent="0.25">
      <c r="A4" s="1"/>
      <c r="B4" s="111"/>
      <c r="C4" s="111"/>
      <c r="D4" s="111"/>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163</v>
      </c>
      <c r="C8" s="28"/>
      <c r="D8" s="19"/>
      <c r="E8" s="1"/>
    </row>
    <row r="9" spans="1:5" ht="15" customHeight="1" x14ac:dyDescent="0.25">
      <c r="A9" s="1"/>
      <c r="B9" s="29" t="s">
        <v>65</v>
      </c>
      <c r="C9" s="7">
        <v>114885565.69295342</v>
      </c>
      <c r="D9" s="8" t="s">
        <v>3</v>
      </c>
      <c r="E9" s="1"/>
    </row>
    <row r="10" spans="1:5" ht="15" customHeight="1" x14ac:dyDescent="0.25">
      <c r="A10" s="1"/>
      <c r="B10" s="65" t="s">
        <v>35</v>
      </c>
      <c r="C10" s="63">
        <v>923019.95239999995</v>
      </c>
      <c r="D10" s="8" t="s">
        <v>3</v>
      </c>
      <c r="E10" s="1"/>
    </row>
    <row r="11" spans="1:5" ht="15" customHeight="1" x14ac:dyDescent="0.25">
      <c r="A11" s="1"/>
      <c r="B11" s="65" t="s">
        <v>36</v>
      </c>
      <c r="C11" s="63">
        <v>3616246.0180000002</v>
      </c>
      <c r="D11" s="8" t="s">
        <v>3</v>
      </c>
      <c r="E11" s="1"/>
    </row>
    <row r="12" spans="1:5" ht="15" customHeight="1" x14ac:dyDescent="0.25">
      <c r="A12" s="1"/>
      <c r="B12" s="65" t="s">
        <v>25</v>
      </c>
      <c r="C12" s="9">
        <v>0</v>
      </c>
      <c r="D12" s="8" t="s">
        <v>3</v>
      </c>
      <c r="E12" s="1"/>
    </row>
    <row r="13" spans="1:5" ht="15" customHeight="1" x14ac:dyDescent="0.25">
      <c r="A13" s="1"/>
      <c r="B13" s="65" t="s">
        <v>24</v>
      </c>
      <c r="C13" s="9">
        <v>0</v>
      </c>
      <c r="D13" s="8" t="s">
        <v>3</v>
      </c>
      <c r="E13" s="1"/>
    </row>
    <row r="14" spans="1:5" ht="15" customHeight="1" x14ac:dyDescent="0.25">
      <c r="A14" s="1"/>
      <c r="B14" s="65" t="s">
        <v>63</v>
      </c>
      <c r="C14" s="9">
        <v>0</v>
      </c>
      <c r="D14" s="8" t="s">
        <v>3</v>
      </c>
      <c r="E14" s="1"/>
    </row>
    <row r="15" spans="1:5" ht="15" customHeight="1" x14ac:dyDescent="0.25">
      <c r="A15" s="1"/>
      <c r="B15" s="65" t="s">
        <v>64</v>
      </c>
      <c r="C15" s="9">
        <v>0</v>
      </c>
      <c r="D15" s="8" t="s">
        <v>3</v>
      </c>
      <c r="E15" s="1"/>
    </row>
    <row r="16" spans="1:5" ht="15" customHeight="1" x14ac:dyDescent="0.25">
      <c r="A16" s="1"/>
      <c r="B16" s="65" t="s">
        <v>19</v>
      </c>
      <c r="C16" s="9">
        <v>9649526.3983989563</v>
      </c>
      <c r="D16" s="8" t="s">
        <v>3</v>
      </c>
      <c r="E16" s="1"/>
    </row>
    <row r="17" spans="1:5" ht="15" customHeight="1" x14ac:dyDescent="0.25">
      <c r="A17" s="1"/>
      <c r="B17" s="65" t="s">
        <v>10</v>
      </c>
      <c r="C17" s="9">
        <v>0</v>
      </c>
      <c r="D17" s="8" t="s">
        <v>3</v>
      </c>
      <c r="E17" s="1"/>
    </row>
    <row r="18" spans="1:5" ht="15" customHeight="1" x14ac:dyDescent="0.25">
      <c r="A18" s="1"/>
      <c r="B18" s="65" t="s">
        <v>22</v>
      </c>
      <c r="C18" s="9">
        <v>-453032.08925433661</v>
      </c>
      <c r="D18" s="8" t="s">
        <v>3</v>
      </c>
      <c r="E18" s="43"/>
    </row>
    <row r="19" spans="1:5" ht="15" customHeight="1" x14ac:dyDescent="0.25">
      <c r="A19" s="1"/>
      <c r="B19" s="65" t="s">
        <v>23</v>
      </c>
      <c r="C19" s="9">
        <v>0</v>
      </c>
      <c r="D19" s="8" t="s">
        <v>3</v>
      </c>
      <c r="E19" s="1"/>
    </row>
    <row r="20" spans="1:5" ht="15" customHeight="1" x14ac:dyDescent="0.25">
      <c r="A20" s="1"/>
      <c r="B20" s="83" t="s">
        <v>21</v>
      </c>
      <c r="C20" s="10">
        <v>128621325.97249804</v>
      </c>
      <c r="D20" s="11" t="s">
        <v>3</v>
      </c>
      <c r="E20" s="1"/>
    </row>
    <row r="21" spans="1:5" ht="15" customHeight="1" x14ac:dyDescent="0.25">
      <c r="A21" s="1"/>
      <c r="B21" s="33" t="s">
        <v>12</v>
      </c>
      <c r="C21" s="28"/>
      <c r="D21" s="19"/>
      <c r="E21" s="1"/>
    </row>
    <row r="22" spans="1:5" ht="15" customHeight="1" x14ac:dyDescent="0.25">
      <c r="A22" s="1"/>
      <c r="B22" s="31" t="s">
        <v>12</v>
      </c>
      <c r="C22" s="10">
        <v>53977935.839496993</v>
      </c>
      <c r="D22" s="11" t="s">
        <v>3</v>
      </c>
      <c r="E22" s="1"/>
    </row>
    <row r="23" spans="1:5" ht="15" customHeight="1" x14ac:dyDescent="0.25">
      <c r="A23" s="1"/>
      <c r="B23" s="33" t="s">
        <v>43</v>
      </c>
      <c r="C23" s="28"/>
      <c r="D23" s="19"/>
      <c r="E23" s="1"/>
    </row>
    <row r="24" spans="1:5" ht="15" customHeight="1" x14ac:dyDescent="0.25">
      <c r="A24" s="1"/>
      <c r="B24" s="83" t="s">
        <v>43</v>
      </c>
      <c r="C24" s="10">
        <v>0</v>
      </c>
      <c r="D24" s="11" t="s">
        <v>3</v>
      </c>
      <c r="E24" s="1"/>
    </row>
    <row r="25" spans="1:5" x14ac:dyDescent="0.25">
      <c r="A25" s="1"/>
      <c r="B25" s="33" t="s">
        <v>42</v>
      </c>
      <c r="C25" s="28"/>
      <c r="D25" s="19"/>
      <c r="E25" s="1"/>
    </row>
    <row r="26" spans="1:5" ht="15" customHeight="1" x14ac:dyDescent="0.25">
      <c r="A26" s="1"/>
      <c r="B26" s="65" t="s">
        <v>38</v>
      </c>
      <c r="C26" s="9">
        <v>1115150.50179008</v>
      </c>
      <c r="D26" s="8" t="s">
        <v>3</v>
      </c>
      <c r="E26" s="1"/>
    </row>
    <row r="27" spans="1:5" ht="15" customHeight="1" x14ac:dyDescent="0.25">
      <c r="A27" s="1"/>
      <c r="B27" s="65" t="s">
        <v>39</v>
      </c>
      <c r="C27" s="9">
        <v>0</v>
      </c>
      <c r="D27" s="8" t="s">
        <v>3</v>
      </c>
      <c r="E27" s="1"/>
    </row>
    <row r="28" spans="1:5" ht="15" customHeight="1" x14ac:dyDescent="0.25">
      <c r="A28" s="1"/>
      <c r="B28" s="65" t="s">
        <v>226</v>
      </c>
      <c r="C28" s="9">
        <v>-22303.010035801599</v>
      </c>
      <c r="D28" s="8" t="s">
        <v>3</v>
      </c>
      <c r="E28" s="1"/>
    </row>
    <row r="29" spans="1:5" ht="15" customHeight="1" x14ac:dyDescent="0.25">
      <c r="A29" s="1"/>
      <c r="B29" s="72" t="s">
        <v>227</v>
      </c>
      <c r="C29" s="9">
        <v>0</v>
      </c>
      <c r="D29" s="8" t="s">
        <v>3</v>
      </c>
      <c r="E29" s="1"/>
    </row>
    <row r="30" spans="1:5" ht="15" customHeight="1" x14ac:dyDescent="0.25">
      <c r="A30" s="1"/>
      <c r="B30" s="83" t="s">
        <v>44</v>
      </c>
      <c r="C30" s="10">
        <v>1092847.4917542783</v>
      </c>
      <c r="D30" s="11" t="s">
        <v>3</v>
      </c>
      <c r="E30" s="1"/>
    </row>
    <row r="31" spans="1:5" ht="15" customHeight="1" x14ac:dyDescent="0.25">
      <c r="A31" s="1"/>
      <c r="B31" s="33" t="s">
        <v>129</v>
      </c>
      <c r="C31" s="28"/>
      <c r="D31" s="19"/>
      <c r="E31" s="1"/>
    </row>
    <row r="32" spans="1:5" ht="15" customHeight="1" x14ac:dyDescent="0.25">
      <c r="A32" s="1"/>
      <c r="B32" s="31" t="s">
        <v>129</v>
      </c>
      <c r="C32" s="10">
        <v>-2084584</v>
      </c>
      <c r="D32" s="11" t="s">
        <v>3</v>
      </c>
      <c r="E32" s="1"/>
    </row>
    <row r="33" spans="1:5" x14ac:dyDescent="0.25">
      <c r="A33" s="1"/>
      <c r="B33" s="33" t="s">
        <v>70</v>
      </c>
      <c r="C33" s="28"/>
      <c r="D33" s="19"/>
      <c r="E33" s="1"/>
    </row>
    <row r="34" spans="1:5" ht="15.4" customHeight="1" x14ac:dyDescent="0.25">
      <c r="A34" s="1"/>
      <c r="B34" s="31" t="s">
        <v>80</v>
      </c>
      <c r="C34" s="10">
        <v>0</v>
      </c>
      <c r="D34" s="11" t="s">
        <v>3</v>
      </c>
      <c r="E34" s="1"/>
    </row>
    <row r="35" spans="1:5" ht="15.4" customHeight="1" x14ac:dyDescent="0.25">
      <c r="A35" s="1"/>
      <c r="B35" s="108" t="s">
        <v>76</v>
      </c>
      <c r="C35" s="109"/>
      <c r="D35" s="110"/>
      <c r="E35" s="1"/>
    </row>
    <row r="36" spans="1:5" x14ac:dyDescent="0.25">
      <c r="A36" s="1"/>
      <c r="B36" s="68" t="s">
        <v>77</v>
      </c>
      <c r="C36" s="10">
        <v>0</v>
      </c>
      <c r="D36" s="11" t="s">
        <v>3</v>
      </c>
      <c r="E36" s="1"/>
    </row>
    <row r="37" spans="1:5" x14ac:dyDescent="0.25">
      <c r="A37" s="1"/>
      <c r="B37" s="30" t="s">
        <v>214</v>
      </c>
      <c r="C37" s="28"/>
      <c r="D37" s="19"/>
      <c r="E37" s="1"/>
    </row>
    <row r="38" spans="1:5" x14ac:dyDescent="0.25">
      <c r="A38" s="1"/>
      <c r="B38" s="68" t="s">
        <v>215</v>
      </c>
      <c r="C38" s="10">
        <v>837265.86108693434</v>
      </c>
      <c r="D38" s="11" t="s">
        <v>3</v>
      </c>
      <c r="E38" s="1"/>
    </row>
    <row r="39" spans="1:5" x14ac:dyDescent="0.25">
      <c r="A39" s="1"/>
      <c r="B39" s="33" t="s">
        <v>66</v>
      </c>
      <c r="C39" s="12">
        <v>182444791.16483623</v>
      </c>
      <c r="D39" s="13" t="s">
        <v>3</v>
      </c>
      <c r="E39" s="1"/>
    </row>
    <row r="40" spans="1:5" ht="30" customHeight="1" x14ac:dyDescent="0.25">
      <c r="A40" s="1"/>
      <c r="B40" s="107" t="s">
        <v>228</v>
      </c>
      <c r="C40" s="107"/>
      <c r="D40" s="107"/>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t="15" hidden="1" customHeight="1" x14ac:dyDescent="0.25">
      <c r="A49" s="44"/>
      <c r="B49" s="44"/>
      <c r="C49" s="44"/>
      <c r="D49" s="44"/>
      <c r="E49" s="44"/>
    </row>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PdclVRr5zOodritF/Y3qjfP589eMoN3HD9KapMUZ6magCLvtScOZ78YXCaQ1+bTsGeHKcDrjEOsVW27t9shqkA==" saltValue="xVP4Yjz4h0pQ0a7dCxizbw==" spinCount="100000" sheet="1" objects="1" scenarios="1"/>
  <mergeCells count="3">
    <mergeCell ref="B40:D40"/>
    <mergeCell ref="B35:D35"/>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25">
      <c r="A6" s="1"/>
      <c r="B6" s="76"/>
      <c r="C6" s="76"/>
      <c r="D6" s="76"/>
      <c r="E6" s="1"/>
    </row>
    <row r="7" spans="1:5" x14ac:dyDescent="0.25">
      <c r="A7" s="1"/>
      <c r="B7" s="1"/>
      <c r="C7" s="1"/>
      <c r="D7" s="1"/>
      <c r="E7" s="1"/>
    </row>
    <row r="8" spans="1:5" x14ac:dyDescent="0.25">
      <c r="A8" s="1"/>
      <c r="B8" s="112" t="s">
        <v>124</v>
      </c>
      <c r="C8" s="113"/>
      <c r="D8" s="114"/>
      <c r="E8" s="1"/>
    </row>
    <row r="9" spans="1:5" x14ac:dyDescent="0.25">
      <c r="A9" s="1"/>
      <c r="B9" s="66" t="s">
        <v>89</v>
      </c>
      <c r="C9" s="23">
        <v>21654004.49816291</v>
      </c>
      <c r="D9" s="14" t="s">
        <v>3</v>
      </c>
      <c r="E9" s="1"/>
    </row>
    <row r="10" spans="1:5" x14ac:dyDescent="0.25">
      <c r="A10" s="1"/>
      <c r="B10" s="66" t="s">
        <v>126</v>
      </c>
      <c r="C10" s="23">
        <f>('Fane 3. Omkostninger i ØR2024'!C10+'Fane 3. Omkostninger i ØR2024'!C12+'Fane 3. Omkostninger i ØR2024'!C14)*(1+'Fane 15. Nøgletal'!C9)</f>
        <v>997599.96455391997</v>
      </c>
      <c r="D10" s="14" t="s">
        <v>3</v>
      </c>
      <c r="E10" s="1"/>
    </row>
    <row r="11" spans="1:5" x14ac:dyDescent="0.25">
      <c r="A11" s="1"/>
      <c r="B11" s="66" t="s">
        <v>132</v>
      </c>
      <c r="C11" s="23">
        <f>C9*'Fane 15. Nøgletal'!C21+C10*'Fane 15. Nøgletal'!C21</f>
        <v>453032.08925433666</v>
      </c>
      <c r="D11" s="14" t="s">
        <v>3</v>
      </c>
      <c r="E11" s="1"/>
    </row>
    <row r="12" spans="1:5" x14ac:dyDescent="0.25">
      <c r="A12" s="1"/>
      <c r="B12" s="33"/>
      <c r="C12" s="28"/>
      <c r="D12" s="19"/>
      <c r="E12" s="1"/>
    </row>
    <row r="13" spans="1:5" x14ac:dyDescent="0.25">
      <c r="A13" s="1"/>
      <c r="B13" s="1"/>
      <c r="C13" s="1"/>
      <c r="D13" s="1"/>
      <c r="E13" s="1"/>
    </row>
    <row r="14" spans="1:5" x14ac:dyDescent="0.25">
      <c r="A14" s="1"/>
      <c r="B14" s="112" t="s">
        <v>125</v>
      </c>
      <c r="C14" s="113"/>
      <c r="D14" s="114"/>
      <c r="E14" s="1"/>
    </row>
    <row r="15" spans="1:5" x14ac:dyDescent="0.25">
      <c r="A15" s="1"/>
      <c r="B15" s="66" t="s">
        <v>134</v>
      </c>
      <c r="C15" s="23">
        <f>(C9+C10-C11)*(1+'Fane 15. Nøgletal'!C9)</f>
        <v>23992217.02123826</v>
      </c>
      <c r="D15" s="14" t="s">
        <v>3</v>
      </c>
      <c r="E15" s="1"/>
    </row>
    <row r="16" spans="1:5" x14ac:dyDescent="0.25">
      <c r="A16" s="1"/>
      <c r="B16" s="66" t="s">
        <v>185</v>
      </c>
      <c r="C16" s="23">
        <f>('Fane 2.1. Økonomisk ramme 2025'!C10+'Fane 2.1. Økonomisk ramme 2025'!C12+'Fane 2.1. Økonomisk ramme 2025'!C14)*(1+'Fane 15. Nøgletal'!C10)</f>
        <v>465164.26570573001</v>
      </c>
      <c r="D16" s="14" t="s">
        <v>3</v>
      </c>
      <c r="E16" s="1"/>
    </row>
    <row r="17" spans="1:5" x14ac:dyDescent="0.25">
      <c r="A17" s="1"/>
      <c r="B17" s="66" t="s">
        <v>133</v>
      </c>
      <c r="C17" s="23">
        <f>C15*'Fane 15. Nøgletal'!C21+C16*'Fane 15. Nøgletal'!C21</f>
        <v>489147.62573887978</v>
      </c>
      <c r="D17" s="14" t="s">
        <v>3</v>
      </c>
      <c r="E17" s="1"/>
    </row>
    <row r="18" spans="1:5" x14ac:dyDescent="0.25">
      <c r="A18" s="1"/>
      <c r="B18" s="33"/>
      <c r="C18" s="28"/>
      <c r="D18" s="19"/>
      <c r="E18" s="1"/>
    </row>
    <row r="19" spans="1:5" x14ac:dyDescent="0.25">
      <c r="A19" s="1"/>
      <c r="B19" s="1"/>
      <c r="C19" s="64"/>
      <c r="D19" s="1"/>
      <c r="E19" s="1"/>
    </row>
    <row r="20" spans="1:5" x14ac:dyDescent="0.25">
      <c r="A20" s="1"/>
      <c r="B20" s="112" t="s">
        <v>146</v>
      </c>
      <c r="C20" s="113"/>
      <c r="D20" s="114"/>
      <c r="E20" s="1"/>
    </row>
    <row r="21" spans="1:5" x14ac:dyDescent="0.25">
      <c r="A21" s="1"/>
      <c r="B21" s="66" t="s">
        <v>190</v>
      </c>
      <c r="C21" s="23">
        <f>(C15+C16-C17)*(1+'Fane 15. Nøgletal'!C10)</f>
        <v>25557327.55294301</v>
      </c>
      <c r="D21" s="14" t="s">
        <v>3</v>
      </c>
      <c r="E21" s="1"/>
    </row>
    <row r="22" spans="1:5" x14ac:dyDescent="0.25">
      <c r="A22" s="1"/>
      <c r="B22" s="66" t="s">
        <v>197</v>
      </c>
      <c r="C22" s="23">
        <f>C21*'Fane 15. Nøgletal'!C21</f>
        <v>511146.5510588602</v>
      </c>
      <c r="D22" s="14" t="s">
        <v>3</v>
      </c>
      <c r="E22" s="1"/>
    </row>
    <row r="23" spans="1:5" x14ac:dyDescent="0.25">
      <c r="A23" s="1"/>
      <c r="B23" s="33"/>
      <c r="C23" s="28"/>
      <c r="D23" s="19"/>
      <c r="E23" s="1"/>
    </row>
    <row r="24" spans="1:5" x14ac:dyDescent="0.25">
      <c r="A24" s="1"/>
      <c r="B24" s="1"/>
      <c r="C24" s="1"/>
      <c r="D24" s="1"/>
      <c r="E24" s="1"/>
    </row>
    <row r="25" spans="1:5" x14ac:dyDescent="0.25">
      <c r="A25" s="1"/>
      <c r="B25" s="112" t="s">
        <v>188</v>
      </c>
      <c r="C25" s="113"/>
      <c r="D25" s="114"/>
      <c r="E25" s="1"/>
    </row>
    <row r="26" spans="1:5" x14ac:dyDescent="0.25">
      <c r="A26" s="1"/>
      <c r="B26" s="66" t="s">
        <v>191</v>
      </c>
      <c r="C26" s="23">
        <f>(C21-C22)*(1+'Fane 15. Nøgletal'!C10)</f>
        <v>26706742.80230907</v>
      </c>
      <c r="D26" s="14" t="s">
        <v>3</v>
      </c>
      <c r="E26" s="1"/>
    </row>
    <row r="27" spans="1:5" x14ac:dyDescent="0.25">
      <c r="A27" s="1"/>
      <c r="B27" s="66" t="s">
        <v>195</v>
      </c>
      <c r="C27" s="23">
        <f>C26*'Fane 15. Nøgletal'!C21</f>
        <v>534134.8560461814</v>
      </c>
      <c r="D27" s="14" t="s">
        <v>3</v>
      </c>
      <c r="E27" s="1"/>
    </row>
    <row r="28" spans="1:5" x14ac:dyDescent="0.25">
      <c r="A28" s="1"/>
      <c r="B28" s="33"/>
      <c r="C28" s="28"/>
      <c r="D28" s="19"/>
      <c r="E28" s="1"/>
    </row>
    <row r="29" spans="1:5" x14ac:dyDescent="0.25">
      <c r="A29" s="1"/>
      <c r="B29" s="1"/>
      <c r="C29" s="1"/>
      <c r="D29" s="1"/>
      <c r="E29" s="1"/>
    </row>
    <row r="30" spans="1:5" x14ac:dyDescent="0.25">
      <c r="A30" s="1"/>
      <c r="B30" s="112" t="s">
        <v>189</v>
      </c>
      <c r="C30" s="113"/>
      <c r="D30" s="114"/>
      <c r="E30" s="1"/>
    </row>
    <row r="31" spans="1:5" x14ac:dyDescent="0.25">
      <c r="A31" s="1"/>
      <c r="B31" s="66" t="s">
        <v>192</v>
      </c>
      <c r="C31" s="23">
        <f>(C26-C27)*(1+'Fane 15. Nøgletal'!C10)</f>
        <v>27907851.853100117</v>
      </c>
      <c r="D31" s="14" t="s">
        <v>3</v>
      </c>
      <c r="E31" s="1"/>
    </row>
    <row r="32" spans="1:5" x14ac:dyDescent="0.25">
      <c r="A32" s="1"/>
      <c r="B32" s="66" t="s">
        <v>196</v>
      </c>
      <c r="C32" s="23">
        <f>C31*'Fane 15. Nøgletal'!C21</f>
        <v>558157.03706200235</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sFIptbEPhpl+4o/ZMJfTDlb7DUCSbtZ0ztlCrecmRxq33jec7nappN8/NW8weOm0b1LSkSadO27ECknJdo4bMQ==" saltValue="OOvstButZWST2JoLWI179Q=="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70"/>
      <c r="C1" s="70"/>
      <c r="D1" s="70"/>
      <c r="E1" s="1"/>
    </row>
    <row r="2" spans="1:5" ht="15" customHeight="1" x14ac:dyDescent="0.35">
      <c r="A2" s="1"/>
      <c r="B2" s="70"/>
      <c r="C2" s="70"/>
      <c r="D2" s="70"/>
      <c r="E2" s="1"/>
    </row>
    <row r="3" spans="1:5" ht="15" customHeight="1" x14ac:dyDescent="0.25">
      <c r="A3" s="1"/>
      <c r="B3" s="115" t="s">
        <v>58</v>
      </c>
      <c r="C3" s="115"/>
      <c r="D3" s="115"/>
      <c r="E3" s="1"/>
    </row>
    <row r="4" spans="1:5" ht="15" customHeight="1" x14ac:dyDescent="0.25">
      <c r="A4" s="1"/>
      <c r="B4" s="115"/>
      <c r="C4" s="115"/>
      <c r="D4" s="115"/>
      <c r="E4" s="1"/>
    </row>
    <row r="5" spans="1:5" ht="15" customHeight="1" x14ac:dyDescent="0.25">
      <c r="A5" s="1"/>
      <c r="B5" s="115"/>
      <c r="C5" s="115"/>
      <c r="D5" s="115"/>
      <c r="E5" s="1"/>
    </row>
    <row r="6" spans="1:5" ht="15" customHeight="1" x14ac:dyDescent="0.35">
      <c r="A6" s="1"/>
      <c r="B6" s="70"/>
      <c r="C6" s="70"/>
      <c r="D6" s="70"/>
      <c r="E6" s="1"/>
    </row>
    <row r="7" spans="1:5" x14ac:dyDescent="0.25">
      <c r="A7" s="1"/>
      <c r="B7" s="1"/>
      <c r="C7" s="1"/>
      <c r="D7" s="1"/>
      <c r="E7" s="1"/>
    </row>
    <row r="8" spans="1:5" x14ac:dyDescent="0.25">
      <c r="A8" s="1"/>
      <c r="B8" s="112" t="s">
        <v>148</v>
      </c>
      <c r="C8" s="113"/>
      <c r="D8" s="114"/>
      <c r="E8" s="1"/>
    </row>
    <row r="9" spans="1:5" x14ac:dyDescent="0.25">
      <c r="A9" s="1"/>
      <c r="B9" s="66" t="s">
        <v>135</v>
      </c>
      <c r="C9" s="23">
        <v>104725341.7583674</v>
      </c>
      <c r="D9" s="14" t="s">
        <v>3</v>
      </c>
      <c r="E9" s="1"/>
    </row>
    <row r="10" spans="1:5" x14ac:dyDescent="0.25">
      <c r="A10" s="1"/>
      <c r="B10" s="66" t="s">
        <v>127</v>
      </c>
      <c r="C10" s="23">
        <f>('Fane 3. Omkostninger i ØR2024'!C11+'Fane 3. Omkostninger i ØR2024'!C13+'Fane 3. Omkostninger i ØR2024'!C15)*(1+'Fane 15. Nøgletal'!C9)</f>
        <v>3908438.6962544001</v>
      </c>
      <c r="D10" s="14" t="s">
        <v>3</v>
      </c>
      <c r="E10" s="1"/>
    </row>
    <row r="11" spans="1:5" x14ac:dyDescent="0.25">
      <c r="A11" s="1"/>
      <c r="B11" s="66" t="s">
        <v>136</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12" t="s">
        <v>147</v>
      </c>
      <c r="C14" s="113"/>
      <c r="D14" s="114"/>
      <c r="E14" s="1"/>
    </row>
    <row r="15" spans="1:5" x14ac:dyDescent="0.25">
      <c r="A15" s="1"/>
      <c r="B15" s="66" t="s">
        <v>137</v>
      </c>
      <c r="C15" s="23">
        <f>(C9+C10-C11)*(1+'Fane 15. Nøgletal'!C9)</f>
        <v>117411389.91535525</v>
      </c>
      <c r="D15" s="14" t="s">
        <v>3</v>
      </c>
      <c r="E15" s="1"/>
    </row>
    <row r="16" spans="1:5" x14ac:dyDescent="0.25">
      <c r="A16" s="1"/>
      <c r="B16" s="66" t="s">
        <v>186</v>
      </c>
      <c r="C16" s="23">
        <f>('Fane 2.1. Økonomisk ramme 2025'!C11+'Fane 2.1. Økonomisk ramme 2025'!C13+'Fane 2.1. Økonomisk ramme 2025'!C15)*(1+'Fane 15. Nøgletal'!C10)</f>
        <v>3956802.9879801902</v>
      </c>
      <c r="D16" s="14" t="s">
        <v>3</v>
      </c>
      <c r="E16" s="1"/>
    </row>
    <row r="17" spans="1:5" x14ac:dyDescent="0.25">
      <c r="A17" s="1"/>
      <c r="B17" s="66" t="s">
        <v>138</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12" t="s">
        <v>83</v>
      </c>
      <c r="C20" s="113"/>
      <c r="D20" s="114"/>
      <c r="E20" s="1"/>
    </row>
    <row r="21" spans="1:5" x14ac:dyDescent="0.25">
      <c r="A21" s="1"/>
      <c r="B21" s="66" t="s">
        <v>193</v>
      </c>
      <c r="C21" s="23">
        <f>(C15+C16-C17)*(1+'Fane 15. Nøgletal'!C10)</f>
        <v>129414904.09282658</v>
      </c>
      <c r="D21" s="14" t="s">
        <v>3</v>
      </c>
      <c r="E21" s="1"/>
    </row>
    <row r="22" spans="1:5" x14ac:dyDescent="0.25">
      <c r="A22" s="1"/>
      <c r="B22" s="66" t="s">
        <v>198</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12" t="s">
        <v>139</v>
      </c>
      <c r="C25" s="113"/>
      <c r="D25" s="114"/>
      <c r="E25" s="1"/>
    </row>
    <row r="26" spans="1:5" x14ac:dyDescent="0.25">
      <c r="A26" s="1"/>
      <c r="B26" s="66" t="s">
        <v>194</v>
      </c>
      <c r="C26" s="23">
        <f>(C21-C22)*(1+'Fane 15. Nøgletal'!C10)</f>
        <v>137995112.23418099</v>
      </c>
      <c r="D26" s="14" t="s">
        <v>3</v>
      </c>
      <c r="E26" s="1"/>
    </row>
    <row r="27" spans="1:5" x14ac:dyDescent="0.25">
      <c r="A27" s="1"/>
      <c r="B27" s="66" t="s">
        <v>199</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12" t="s">
        <v>164</v>
      </c>
      <c r="C30" s="113"/>
      <c r="D30" s="114"/>
      <c r="E30" s="1"/>
    </row>
    <row r="31" spans="1:5" x14ac:dyDescent="0.25">
      <c r="A31" s="1"/>
      <c r="B31" s="66" t="s">
        <v>201</v>
      </c>
      <c r="C31" s="23">
        <f>(C26-C27)*(1+'Fane 15. Nøgletal'!C10)</f>
        <v>147144188.17530718</v>
      </c>
      <c r="D31" s="14" t="s">
        <v>3</v>
      </c>
      <c r="E31" s="1"/>
    </row>
    <row r="32" spans="1:5" x14ac:dyDescent="0.25">
      <c r="A32" s="1"/>
      <c r="B32" s="66" t="s">
        <v>200</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hpRDL1Ekg7Bnfj/N2i0J+MMi0h/h25ANZ7O7BKs3jo7S0szdNLj1+hdRzRE3eFdwBK9sWTZWlw3Wpl5JT+xAaQ==" saltValue="b26EIiIU0gfdk+xCWmK02A=="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5" t="s">
        <v>45</v>
      </c>
      <c r="C3" s="105"/>
      <c r="D3" s="1"/>
    </row>
    <row r="4" spans="1:4" ht="15" customHeight="1" x14ac:dyDescent="0.25">
      <c r="A4" s="1"/>
      <c r="B4" s="105"/>
      <c r="C4" s="105"/>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12" t="s">
        <v>10</v>
      </c>
      <c r="C8" s="114"/>
      <c r="D8" s="1"/>
    </row>
    <row r="9" spans="1:4" x14ac:dyDescent="0.25">
      <c r="A9" s="1"/>
      <c r="B9" s="66" t="s">
        <v>165</v>
      </c>
      <c r="C9" s="22">
        <v>0</v>
      </c>
      <c r="D9" s="1"/>
    </row>
    <row r="10" spans="1:4" x14ac:dyDescent="0.25">
      <c r="A10" s="1"/>
      <c r="B10" s="33"/>
      <c r="C10" s="19"/>
      <c r="D10" s="1"/>
    </row>
    <row r="11" spans="1:4" x14ac:dyDescent="0.25">
      <c r="A11" s="1"/>
      <c r="B11" s="116" t="s">
        <v>221</v>
      </c>
      <c r="C11" s="117"/>
      <c r="D11" s="1"/>
    </row>
    <row r="12" spans="1:4" x14ac:dyDescent="0.25">
      <c r="A12" s="1"/>
      <c r="B12" s="118"/>
      <c r="C12" s="119"/>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RbR5KGxRuvIe2IME1EodrX9/ysFsale2Im1A18IundkqfBBrvH+t2GrlYbR4vB2ok7j+6m7bYU05USDJ7uEE5A==" saltValue="lNGyLXPIrtLpryyLQzJylw=="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2024-08-21T11:42:35Z</dcterms:modified>
</cp:coreProperties>
</file>