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ordingborg Vand AS (V21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4" i="37" s="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c r="C10" i="23" s="1"/>
  <c r="C13" i="23" s="1"/>
  <c r="C20" i="23" s="1"/>
</calcChain>
</file>

<file path=xl/sharedStrings.xml><?xml version="1.0" encoding="utf-8"?>
<sst xmlns="http://schemas.openxmlformats.org/spreadsheetml/2006/main" count="513" uniqueCount="254">
  <si>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</si>
  <si>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</si>
  <si>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</si>
  <si>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</si>
  <si>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</si>
  <si>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</si>
  <si>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</si>
  <si>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</si>
  <si>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</si>
  <si>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</si>
  <si>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</si>
  <si>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</si>
  <si>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</si>
  <si>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</si>
  <si>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</si>
  <si>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</si>
  <si>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</si>
  <si>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</si>
  <si>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</si>
  <si>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</si>
  <si>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</si>
  <si>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</si>
  <si>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</si>
  <si>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</si>
  <si>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</si>
  <si>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</si>
  <si>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</si>
  <si>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</si>
  <si>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</si>
  <si>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</si>
  <si>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</si>
  <si>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</si>
  <si>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</si>
  <si>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</si>
  <si>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</si>
  <si>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</si>
  <si>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</si>
  <si>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</si>
  <si>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</si>
  <si>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</si>
  <si>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</si>
  <si>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</si>
  <si>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</si>
  <si>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</si>
  <si>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</si>
  <si>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</si>
  <si>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</si>
  <si>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</si>
  <si>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</si>
  <si>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</si>
  <si>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</si>
  <si>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</si>
  <si>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</si>
  <si>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</si>
  <si>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</si>
  <si>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</si>
  <si>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</si>
  <si>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</si>
  <si>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</si>
  <si>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</si>
  <si>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</si>
  <si>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</si>
  <si>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</si>
  <si>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</si>
  <si>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</si>
  <si>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</si>
  <si>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</si>
  <si>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</si>
  <si>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</si>
  <si>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</si>
  <si>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</si>
  <si>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</si>
  <si>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</si>
  <si>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</si>
  <si>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</si>
  <si>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</si>
  <si>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</si>
  <si>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</si>
  <si>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</si>
  <si>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</si>
  <si>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</si>
  <si>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</si>
  <si>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</si>
  <si>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</si>
  <si>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</si>
  <si>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</si>
  <si>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</si>
  <si>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</si>
  <si>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</si>
  <si>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</si>
  <si>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</si>
  <si>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</si>
  <si>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</si>
  <si>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</si>
  <si>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</si>
  <si>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</si>
  <si>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</si>
  <si>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</si>
  <si>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</si>
  <si>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</si>
  <si>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</si>
  <si>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</si>
  <si>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</si>
  <si>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</si>
  <si>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</si>
  <si>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</si>
  <si>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</si>
  <si>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</si>
  <si>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</si>
  <si>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</si>
  <si>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</si>
  <si>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</si>
  <si>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</si>
  <si>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</si>
  <si>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</si>
  <si>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</si>
  <si>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</si>
  <si>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</si>
  <si>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</si>
  <si>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</si>
  <si>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</si>
  <si>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</si>
  <si>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</si>
  <si>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</si>
  <si>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</si>
  <si>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</si>
  <si>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</si>
  <si>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</si>
  <si>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</si>
  <si>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</si>
  <si>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</si>
  <si>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</si>
  <si>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</si>
  <si>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</si>
  <si>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</si>
  <si>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</si>
  <si>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</si>
  <si>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</si>
  <si>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</si>
  <si>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</si>
  <si>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</si>
  <si>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</si>
  <si>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</si>
  <si>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</si>
  <si>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</si>
  <si>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</si>
  <si>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</si>
  <si>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</si>
  <si>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</si>
  <si>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</si>
  <si>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</si>
  <si>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</si>
  <si>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</si>
  <si>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</si>
  <si>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</si>
  <si>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</si>
  <si>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</si>
  <si>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</si>
  <si>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</si>
  <si>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</si>
  <si>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</si>
  <si>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</si>
  <si>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</si>
  <si>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</si>
  <si>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</si>
  <si>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</si>
  <si>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</si>
  <si>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</si>
  <si>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</si>
  <si>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</si>
  <si>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</si>
  <si>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</si>
  <si>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</si>
  <si>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</si>
  <si>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</si>
  <si>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</si>
  <si>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</si>
  <si>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</si>
  <si>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</si>
  <si>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</si>
  <si>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</si>
  <si>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</si>
  <si>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</si>
  <si>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</si>
  <si>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</si>
  <si>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</si>
  <si>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</si>
  <si>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</si>
  <si>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</si>
  <si>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</si>
  <si>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</si>
  <si>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</si>
  <si>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</si>
  <si>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</si>
  <si>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</si>
  <si>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</si>
  <si>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</si>
  <si>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</si>
  <si>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</si>
  <si>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</si>
  <si>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</si>
  <si>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</si>
  <si>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</si>
  <si>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</si>
  <si>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</si>
  <si>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</si>
  <si>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</si>
  <si>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</si>
  <si>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</si>
  <si>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</si>
  <si>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</si>
  <si>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</si>
  <si>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</si>
  <si>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</si>
  <si>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</si>
  <si>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</si>
  <si>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</si>
  <si>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</si>
  <si>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</si>
  <si>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</si>
  <si>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</si>
  <si>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</si>
  <si>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</si>
  <si>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</si>
  <si>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</si>
  <si>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</si>
  <si>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</si>
  <si>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</si>
  <si>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</si>
  <si>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</si>
  <si>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</si>
  <si>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</si>
  <si>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</si>
  <si>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</si>
  <si>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</si>
  <si>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</si>
  <si>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</si>
  <si>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</si>
  <si>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</si>
  <si>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</si>
  <si>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</si>
  <si>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Nyt vandværk og udskiftning af målere</t>
  </si>
  <si>
    <t>Nye tilslutninger</t>
  </si>
  <si>
    <t>Rensning af rentvandstank</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</si>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</sst>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0" fillId="2" borderId="0" xfId="0" applyFill="1" applyBorder="1" applyProtection="1"/>
    <xf numFmtId="0" fontId="0" fillId="0" borderId="0" xfId="0" applyFill="1" applyBorder="1" applyProtection="1"/>
    <xf numFmtId="0" fontId="0" fillId="0" borderId="0" xfId="0" applyBorder="1" applyProtection="1"/>
    <xf numFmtId="0" fontId="0" fillId="8" borderId="0" xfId="0" applyFill="1" applyAlignment="1" applyProtection="1">
      <alignment horizontal="right"/>
    </xf>
    <xf numFmtId="165" fontId="8" fillId="4"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9" t="s">
        <v>194</v>
      </c>
      <c r="E8" s="99"/>
      <c r="F8" s="99"/>
      <c r="G8" s="9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1"/>
      <c r="I12" s="1"/>
    </row>
    <row r="13" spans="1:9" x14ac:dyDescent="0.25">
      <c r="A13" s="1"/>
      <c r="B13" s="1"/>
      <c r="C13" s="6" t="s">
        <v>6</v>
      </c>
      <c r="D13" s="91" t="s">
        <v>161</v>
      </c>
      <c r="E13" s="92"/>
      <c r="F13" s="92"/>
      <c r="G13" s="93"/>
      <c r="H13" s="1"/>
      <c r="I13" s="1"/>
    </row>
    <row r="14" spans="1:9" x14ac:dyDescent="0.25">
      <c r="A14" s="1"/>
      <c r="B14" s="1"/>
      <c r="C14" s="6" t="s">
        <v>14</v>
      </c>
      <c r="D14" s="91" t="s">
        <v>204</v>
      </c>
      <c r="E14" s="92"/>
      <c r="F14" s="92"/>
      <c r="G14" s="93"/>
      <c r="H14" s="1"/>
      <c r="I14" s="1"/>
    </row>
    <row r="15" spans="1:9" x14ac:dyDescent="0.25">
      <c r="A15" s="1"/>
      <c r="B15" s="1"/>
      <c r="C15" s="6" t="s">
        <v>32</v>
      </c>
      <c r="D15" s="91" t="s">
        <v>137</v>
      </c>
      <c r="E15" s="92"/>
      <c r="F15" s="92"/>
      <c r="G15" s="93"/>
      <c r="H15" s="1"/>
      <c r="I15" s="1"/>
    </row>
    <row r="16" spans="1:9" x14ac:dyDescent="0.25">
      <c r="A16" s="1"/>
      <c r="B16" s="1"/>
      <c r="C16" s="6" t="s">
        <v>33</v>
      </c>
      <c r="D16" s="91" t="s">
        <v>162</v>
      </c>
      <c r="E16" s="92"/>
      <c r="F16" s="92"/>
      <c r="G16" s="93"/>
      <c r="H16" s="1"/>
      <c r="I16" s="1"/>
    </row>
    <row r="17" spans="1:9" x14ac:dyDescent="0.25">
      <c r="A17" s="1"/>
      <c r="B17" s="1"/>
      <c r="C17" s="6" t="s">
        <v>110</v>
      </c>
      <c r="D17" s="91" t="s">
        <v>163</v>
      </c>
      <c r="E17" s="92"/>
      <c r="F17" s="92"/>
      <c r="G17" s="93"/>
      <c r="H17" s="1"/>
      <c r="I17" s="1"/>
    </row>
    <row r="18" spans="1:9" x14ac:dyDescent="0.25">
      <c r="A18" s="1"/>
      <c r="B18" s="1"/>
      <c r="C18" s="6" t="s">
        <v>94</v>
      </c>
      <c r="D18" s="100" t="s">
        <v>86</v>
      </c>
      <c r="E18" s="101"/>
      <c r="F18" s="101"/>
      <c r="G18" s="102"/>
      <c r="H18" s="1"/>
      <c r="I18" s="1"/>
    </row>
    <row r="19" spans="1:9" x14ac:dyDescent="0.25">
      <c r="A19" s="1"/>
      <c r="B19" s="1"/>
      <c r="C19" s="6" t="s">
        <v>95</v>
      </c>
      <c r="D19" s="100" t="s">
        <v>87</v>
      </c>
      <c r="E19" s="101"/>
      <c r="F19" s="101"/>
      <c r="G19" s="102"/>
      <c r="H19" s="1"/>
      <c r="I19" s="1"/>
    </row>
    <row r="20" spans="1:9" x14ac:dyDescent="0.25">
      <c r="A20" s="1"/>
      <c r="B20" s="1"/>
      <c r="C20" s="6" t="s">
        <v>7</v>
      </c>
      <c r="D20" s="100" t="s">
        <v>9</v>
      </c>
      <c r="E20" s="101"/>
      <c r="F20" s="101"/>
      <c r="G20" s="102"/>
      <c r="H20" s="1"/>
      <c r="I20" s="1"/>
    </row>
    <row r="21" spans="1:9" x14ac:dyDescent="0.25">
      <c r="A21" s="1"/>
      <c r="B21" s="1"/>
      <c r="C21" s="6" t="s">
        <v>96</v>
      </c>
      <c r="D21" s="106" t="s">
        <v>11</v>
      </c>
      <c r="E21" s="107"/>
      <c r="F21" s="107"/>
      <c r="G21" s="108"/>
      <c r="H21" s="1"/>
      <c r="I21" s="1"/>
    </row>
    <row r="22" spans="1:9" x14ac:dyDescent="0.25">
      <c r="A22" s="1"/>
      <c r="B22" s="1"/>
      <c r="C22" s="6" t="s">
        <v>78</v>
      </c>
      <c r="D22" s="95" t="s">
        <v>164</v>
      </c>
      <c r="E22" s="96"/>
      <c r="F22" s="96"/>
      <c r="G22" s="97"/>
      <c r="H22" s="1"/>
      <c r="I22" s="1"/>
    </row>
    <row r="23" spans="1:9" x14ac:dyDescent="0.25">
      <c r="A23" s="1"/>
      <c r="B23" s="1"/>
      <c r="C23" s="6" t="s">
        <v>8</v>
      </c>
      <c r="D23" s="95" t="s">
        <v>219</v>
      </c>
      <c r="E23" s="96"/>
      <c r="F23" s="96"/>
      <c r="G23" s="97"/>
      <c r="H23" s="1"/>
      <c r="I23" s="1"/>
    </row>
    <row r="24" spans="1:9" x14ac:dyDescent="0.25">
      <c r="A24" s="1"/>
      <c r="B24" s="1"/>
      <c r="C24" s="6" t="s">
        <v>215</v>
      </c>
      <c r="D24" s="95" t="s">
        <v>205</v>
      </c>
      <c r="E24" s="96"/>
      <c r="F24" s="96"/>
      <c r="G24" s="97"/>
      <c r="H24" s="1"/>
      <c r="I24" s="1"/>
    </row>
    <row r="25" spans="1:9" x14ac:dyDescent="0.25">
      <c r="A25" s="1"/>
      <c r="B25" s="1"/>
      <c r="C25" s="6" t="s">
        <v>216</v>
      </c>
      <c r="D25" s="95" t="s">
        <v>79</v>
      </c>
      <c r="E25" s="96"/>
      <c r="F25" s="96"/>
      <c r="G25" s="97"/>
      <c r="H25" s="1"/>
      <c r="I25" s="1"/>
    </row>
    <row r="26" spans="1:9" x14ac:dyDescent="0.25">
      <c r="A26" s="1"/>
      <c r="B26" s="1"/>
      <c r="C26" s="6" t="s">
        <v>217</v>
      </c>
      <c r="D26" s="95" t="s">
        <v>80</v>
      </c>
      <c r="E26" s="96"/>
      <c r="F26" s="96"/>
      <c r="G26" s="97"/>
      <c r="H26" s="1"/>
      <c r="I26" s="1"/>
    </row>
    <row r="27" spans="1:9" x14ac:dyDescent="0.25">
      <c r="A27" s="1"/>
      <c r="B27" s="1"/>
      <c r="C27" s="6" t="s">
        <v>97</v>
      </c>
      <c r="D27" s="95" t="s">
        <v>111</v>
      </c>
      <c r="E27" s="96"/>
      <c r="F27" s="96"/>
      <c r="G27" s="97"/>
      <c r="H27" s="1"/>
      <c r="I27" s="1"/>
    </row>
    <row r="28" spans="1:9" x14ac:dyDescent="0.25">
      <c r="A28" s="1"/>
      <c r="B28" s="1"/>
      <c r="C28" s="6" t="s">
        <v>91</v>
      </c>
      <c r="D28" s="95" t="s">
        <v>34</v>
      </c>
      <c r="E28" s="96"/>
      <c r="F28" s="96"/>
      <c r="G28" s="97"/>
      <c r="H28" s="1"/>
      <c r="I28" s="1"/>
    </row>
    <row r="29" spans="1:9" x14ac:dyDescent="0.25">
      <c r="A29" s="1"/>
      <c r="B29" s="1"/>
      <c r="C29" s="6" t="s">
        <v>218</v>
      </c>
      <c r="D29" s="103" t="s">
        <v>92</v>
      </c>
      <c r="E29" s="104"/>
      <c r="F29" s="104"/>
      <c r="G29" s="10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100</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8" t="s">
        <v>181</v>
      </c>
      <c r="C8" s="129"/>
      <c r="D8" s="130"/>
      <c r="E8" s="1"/>
      <c r="F8" s="1"/>
    </row>
    <row r="9" spans="1:6" ht="15" customHeight="1" x14ac:dyDescent="0.25">
      <c r="A9" s="1"/>
      <c r="B9" s="33" t="s">
        <v>30</v>
      </c>
      <c r="C9" s="11" t="s">
        <v>212</v>
      </c>
      <c r="D9" s="11"/>
      <c r="E9" s="1"/>
      <c r="F9" s="1"/>
    </row>
    <row r="10" spans="1:6" x14ac:dyDescent="0.25">
      <c r="A10" s="1"/>
      <c r="B10" s="78" t="s">
        <v>231</v>
      </c>
      <c r="C10" s="9">
        <v>7050508</v>
      </c>
      <c r="D10" s="14" t="s">
        <v>3</v>
      </c>
      <c r="E10" s="1"/>
      <c r="F10" s="1"/>
    </row>
    <row r="11" spans="1:6" x14ac:dyDescent="0.25">
      <c r="A11" s="1"/>
      <c r="B11" s="78" t="s">
        <v>232</v>
      </c>
      <c r="C11" s="9">
        <v>79867</v>
      </c>
      <c r="D11" s="14" t="s">
        <v>3</v>
      </c>
      <c r="E11" s="1"/>
      <c r="F11" s="1"/>
    </row>
    <row r="12" spans="1:6" x14ac:dyDescent="0.25">
      <c r="A12" s="1"/>
      <c r="B12" s="78" t="s">
        <v>233</v>
      </c>
      <c r="C12" s="9">
        <v>83951</v>
      </c>
      <c r="D12" s="14" t="s">
        <v>3</v>
      </c>
      <c r="E12" s="1"/>
      <c r="F12" s="1"/>
    </row>
    <row r="13" spans="1:6" x14ac:dyDescent="0.25">
      <c r="A13" s="1"/>
      <c r="B13" s="66" t="s">
        <v>182</v>
      </c>
      <c r="C13" s="12">
        <f>SUM(C10:C12)</f>
        <v>7214326</v>
      </c>
      <c r="D13" s="13" t="s">
        <v>3</v>
      </c>
      <c r="E13" s="1"/>
      <c r="F13" s="1"/>
    </row>
    <row r="14" spans="1:6" x14ac:dyDescent="0.25">
      <c r="A14" s="1"/>
      <c r="B14" s="66" t="s">
        <v>183</v>
      </c>
      <c r="C14" s="12">
        <f>C13*(1+'Fane 13. Nøgletal'!C15)^2</f>
        <v>7737129.1593993604</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1" t="s">
        <v>184</v>
      </c>
      <c r="C3" s="131"/>
      <c r="D3" s="131"/>
      <c r="E3" s="131"/>
      <c r="F3" s="131"/>
      <c r="G3" s="1"/>
    </row>
    <row r="4" spans="1:7" ht="15" customHeight="1" x14ac:dyDescent="0.25">
      <c r="A4" s="1"/>
      <c r="B4" s="131"/>
      <c r="C4" s="131"/>
      <c r="D4" s="131"/>
      <c r="E4" s="131"/>
      <c r="F4" s="131"/>
      <c r="G4" s="1"/>
    </row>
    <row r="5" spans="1:7" ht="15" customHeight="1" x14ac:dyDescent="0.25">
      <c r="A5" s="1"/>
      <c r="B5" s="73"/>
      <c r="C5" s="73"/>
      <c r="D5" s="73"/>
      <c r="E5" s="73"/>
      <c r="F5" s="73"/>
      <c r="G5" s="1"/>
    </row>
    <row r="6" spans="1:7" ht="15" customHeight="1" x14ac:dyDescent="0.25">
      <c r="A6" s="1"/>
      <c r="B6" s="73"/>
      <c r="C6" s="73"/>
      <c r="D6" s="73"/>
      <c r="E6" s="73"/>
      <c r="F6" s="73"/>
      <c r="G6" s="1"/>
    </row>
    <row r="7" spans="1:7" x14ac:dyDescent="0.25">
      <c r="A7" s="1"/>
      <c r="B7" s="1"/>
      <c r="C7" s="1"/>
      <c r="D7" s="1"/>
      <c r="E7" s="1"/>
      <c r="F7" s="1"/>
      <c r="G7" s="1"/>
    </row>
    <row r="8" spans="1:7" x14ac:dyDescent="0.25">
      <c r="A8" s="1"/>
      <c r="B8" s="128" t="s">
        <v>155</v>
      </c>
      <c r="C8" s="129"/>
      <c r="D8" s="129"/>
      <c r="E8" s="129"/>
      <c r="F8" s="130"/>
      <c r="G8" s="1"/>
    </row>
    <row r="9" spans="1:7" x14ac:dyDescent="0.25">
      <c r="A9" s="1"/>
      <c r="B9" s="135" t="s">
        <v>156</v>
      </c>
      <c r="C9" s="136"/>
      <c r="D9" s="137"/>
      <c r="E9" s="9">
        <v>-711524.08506606147</v>
      </c>
      <c r="F9" s="14" t="s">
        <v>3</v>
      </c>
      <c r="G9" s="1"/>
    </row>
    <row r="10" spans="1:7" x14ac:dyDescent="0.25">
      <c r="A10" s="1"/>
      <c r="B10" s="150" t="s">
        <v>234</v>
      </c>
      <c r="C10" s="151"/>
      <c r="D10" s="152"/>
      <c r="E10" s="9">
        <v>-543645.21363714337</v>
      </c>
      <c r="F10" s="53" t="s">
        <v>3</v>
      </c>
      <c r="G10" s="1"/>
    </row>
    <row r="11" spans="1:7" x14ac:dyDescent="0.25">
      <c r="A11" s="1"/>
      <c r="B11" s="135" t="s">
        <v>185</v>
      </c>
      <c r="C11" s="136"/>
      <c r="D11" s="137"/>
      <c r="E11" s="9">
        <v>76027.576755799353</v>
      </c>
      <c r="F11" s="14" t="s">
        <v>3</v>
      </c>
      <c r="G11" s="1"/>
    </row>
    <row r="12" spans="1:7" x14ac:dyDescent="0.25">
      <c r="A12" s="1"/>
      <c r="B12" s="66"/>
      <c r="C12" s="67"/>
      <c r="D12" s="67"/>
      <c r="E12" s="67"/>
      <c r="F12" s="19"/>
      <c r="G12" s="1"/>
    </row>
    <row r="13" spans="1:7" ht="64.900000000000006" customHeight="1" x14ac:dyDescent="0.25">
      <c r="A13" s="1"/>
      <c r="B13" s="111" t="s">
        <v>252</v>
      </c>
      <c r="C13" s="112"/>
      <c r="D13" s="112"/>
      <c r="E13" s="112"/>
      <c r="F13" s="113"/>
      <c r="G13" s="1"/>
    </row>
    <row r="14" spans="1:7" ht="27" customHeight="1" x14ac:dyDescent="0.25">
      <c r="A14" s="1"/>
      <c r="B14" s="1"/>
      <c r="C14" s="1"/>
      <c r="D14" s="1"/>
      <c r="E14" s="1"/>
      <c r="F14" s="1"/>
      <c r="G14" s="1"/>
    </row>
    <row r="15" spans="1:7" ht="28.5" customHeight="1" x14ac:dyDescent="0.25">
      <c r="A15" s="1"/>
      <c r="B15" s="128" t="s">
        <v>157</v>
      </c>
      <c r="C15" s="129"/>
      <c r="D15" s="129"/>
      <c r="E15" s="129"/>
      <c r="F15" s="130"/>
      <c r="G15" s="1"/>
    </row>
    <row r="16" spans="1:7" x14ac:dyDescent="0.25">
      <c r="A16" s="1"/>
      <c r="B16" s="135" t="s">
        <v>235</v>
      </c>
      <c r="C16" s="136"/>
      <c r="D16" s="137"/>
      <c r="E16" s="9">
        <v>0</v>
      </c>
      <c r="F16" s="14" t="s">
        <v>3</v>
      </c>
      <c r="G16" s="1"/>
    </row>
    <row r="17" spans="1:7" x14ac:dyDescent="0.25">
      <c r="A17" s="1"/>
      <c r="B17" s="135" t="s">
        <v>236</v>
      </c>
      <c r="C17" s="136"/>
      <c r="D17" s="137"/>
      <c r="E17" s="9">
        <v>0</v>
      </c>
      <c r="F17" s="14" t="s">
        <v>3</v>
      </c>
      <c r="G17" s="1"/>
    </row>
    <row r="18" spans="1:7" x14ac:dyDescent="0.25">
      <c r="A18" s="1"/>
      <c r="B18" s="66"/>
      <c r="C18" s="67"/>
      <c r="D18" s="67"/>
      <c r="E18" s="67"/>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70" t="s">
        <v>186</v>
      </c>
      <c r="C21" s="71"/>
      <c r="D21" s="71"/>
      <c r="E21" s="71"/>
      <c r="F21" s="72"/>
      <c r="G21" s="1"/>
    </row>
    <row r="22" spans="1:7" x14ac:dyDescent="0.25">
      <c r="A22" s="1"/>
      <c r="B22" s="75" t="s">
        <v>237</v>
      </c>
      <c r="C22" s="76"/>
      <c r="D22" s="77"/>
      <c r="E22" s="9">
        <v>24255880.535652075</v>
      </c>
      <c r="F22" s="14" t="s">
        <v>3</v>
      </c>
      <c r="G22" s="1"/>
    </row>
    <row r="23" spans="1:7" x14ac:dyDescent="0.25">
      <c r="A23" s="1"/>
      <c r="B23" s="75" t="s">
        <v>187</v>
      </c>
      <c r="C23" s="76"/>
      <c r="D23" s="77"/>
      <c r="E23" s="9">
        <v>25151969</v>
      </c>
      <c r="F23" s="14" t="s">
        <v>3</v>
      </c>
      <c r="G23" s="1"/>
    </row>
    <row r="24" spans="1:7" x14ac:dyDescent="0.25">
      <c r="A24" s="1"/>
      <c r="B24" s="75" t="s">
        <v>31</v>
      </c>
      <c r="C24" s="76"/>
      <c r="D24" s="77"/>
      <c r="E24" s="9">
        <v>0</v>
      </c>
      <c r="F24" s="14" t="s">
        <v>3</v>
      </c>
      <c r="G24" s="1"/>
    </row>
    <row r="25" spans="1:7" x14ac:dyDescent="0.25">
      <c r="A25" s="1"/>
      <c r="B25" s="50" t="s">
        <v>253</v>
      </c>
      <c r="C25" s="51"/>
      <c r="D25" s="52"/>
      <c r="E25" s="56">
        <f>E22-(E23-E24)</f>
        <v>-896088.46434792504</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28" t="s">
        <v>238</v>
      </c>
      <c r="C28" s="129"/>
      <c r="D28" s="129"/>
      <c r="E28" s="129"/>
      <c r="F28" s="130"/>
      <c r="G28" s="1"/>
    </row>
    <row r="29" spans="1:7" x14ac:dyDescent="0.25">
      <c r="A29" s="1"/>
      <c r="B29" s="153" t="s">
        <v>128</v>
      </c>
      <c r="C29" s="154"/>
      <c r="D29" s="15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-896088.46434792504</v>
      </c>
      <c r="F29" s="14" t="s">
        <v>3</v>
      </c>
      <c r="G29" s="1"/>
    </row>
    <row r="30" spans="1:7" x14ac:dyDescent="0.25">
      <c r="A30" s="1"/>
      <c r="B30" s="153" t="s">
        <v>93</v>
      </c>
      <c r="C30" s="154"/>
      <c r="D30" s="155"/>
      <c r="E30" s="9">
        <v>2</v>
      </c>
      <c r="F30" s="14" t="s">
        <v>18</v>
      </c>
      <c r="G30" s="1"/>
    </row>
    <row r="31" spans="1:7" x14ac:dyDescent="0.25">
      <c r="A31" s="1"/>
      <c r="B31" s="146" t="s">
        <v>127</v>
      </c>
      <c r="C31" s="146"/>
      <c r="D31" s="146"/>
      <c r="E31" s="10">
        <f>E29/E30</f>
        <v>-448044.23217396252</v>
      </c>
      <c r="F31" s="17" t="s">
        <v>3</v>
      </c>
      <c r="G31" s="1"/>
    </row>
    <row r="32" spans="1:7" x14ac:dyDescent="0.25">
      <c r="A32" s="1"/>
      <c r="B32" s="147"/>
      <c r="C32" s="148"/>
      <c r="D32" s="148"/>
      <c r="E32" s="148"/>
      <c r="F32" s="14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4"/>
      <c r="C38" s="54"/>
      <c r="D38" s="54"/>
      <c r="E38" s="54"/>
      <c r="F38" s="54"/>
    </row>
    <row r="39" spans="1:7" x14ac:dyDescent="0.25">
      <c r="A39" s="54"/>
      <c r="B39" s="54"/>
      <c r="C39" s="54"/>
      <c r="D39" s="54"/>
      <c r="E39" s="54"/>
      <c r="F39" s="54"/>
      <c r="G39" s="54"/>
    </row>
    <row r="40" spans="1:7" x14ac:dyDescent="0.25">
      <c r="A40" s="54"/>
      <c r="B40" s="54"/>
      <c r="C40" s="54"/>
      <c r="D40" s="54"/>
      <c r="E40" s="54"/>
      <c r="F40" s="54"/>
      <c r="G40" s="54"/>
    </row>
    <row r="41" spans="1:7" x14ac:dyDescent="0.25">
      <c r="A41" s="54"/>
      <c r="B41" s="54"/>
      <c r="C41" s="54"/>
      <c r="D41" s="54"/>
      <c r="E41" s="54"/>
      <c r="F41" s="54"/>
      <c r="G41" s="54"/>
    </row>
    <row r="42" spans="1:7" x14ac:dyDescent="0.25">
      <c r="A42" s="54"/>
      <c r="B42" s="54"/>
      <c r="C42" s="54"/>
      <c r="D42" s="54"/>
      <c r="E42" s="54"/>
      <c r="F42" s="54"/>
      <c r="G42" s="54"/>
    </row>
  </sheetData>
  <sheetProtection algorithmName="SHA-512" hashValue="4Wd7dVkGuo6l4Ldt7HqcXM5k+QUdktXdYPqi6EcfGwpLdq3tw0qNbsbjPS34n+tMVDvUub70DFztoOAcv4L6Vw==" saltValue="XIJTYKMmj7UksS0V1RY6R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226</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8" t="s">
        <v>227</v>
      </c>
      <c r="C8" s="129"/>
      <c r="D8" s="129"/>
      <c r="E8" s="129"/>
      <c r="F8" s="129"/>
      <c r="G8" s="129"/>
      <c r="H8" s="130"/>
      <c r="I8" s="1"/>
    </row>
    <row r="9" spans="1:9" ht="15" customHeight="1" x14ac:dyDescent="0.25">
      <c r="A9" s="1"/>
      <c r="B9" s="120" t="s">
        <v>228</v>
      </c>
      <c r="C9" s="121"/>
      <c r="D9" s="121"/>
      <c r="E9" s="121"/>
      <c r="F9" s="121"/>
      <c r="G9" s="121"/>
      <c r="H9" s="122"/>
      <c r="I9" s="1"/>
    </row>
    <row r="10" spans="1:9" x14ac:dyDescent="0.25">
      <c r="A10" s="1"/>
      <c r="B10" s="156" t="s">
        <v>244</v>
      </c>
      <c r="C10" s="157"/>
      <c r="D10" s="157"/>
      <c r="E10" s="157"/>
      <c r="F10" s="158"/>
      <c r="G10" s="55">
        <v>0</v>
      </c>
      <c r="H10" s="9" t="s">
        <v>3</v>
      </c>
      <c r="I10" s="1"/>
    </row>
    <row r="11" spans="1:9" x14ac:dyDescent="0.25">
      <c r="A11" s="1"/>
      <c r="B11" s="156" t="s">
        <v>245</v>
      </c>
      <c r="C11" s="157"/>
      <c r="D11" s="157"/>
      <c r="E11" s="157"/>
      <c r="F11" s="158"/>
      <c r="G11" s="55">
        <v>0</v>
      </c>
      <c r="H11" s="9" t="s">
        <v>3</v>
      </c>
      <c r="I11" s="1"/>
    </row>
    <row r="12" spans="1:9" x14ac:dyDescent="0.25">
      <c r="A12" s="1"/>
      <c r="B12" s="156" t="s">
        <v>246</v>
      </c>
      <c r="C12" s="157"/>
      <c r="D12" s="157"/>
      <c r="E12" s="157"/>
      <c r="F12" s="158"/>
      <c r="G12" s="9">
        <v>0</v>
      </c>
      <c r="H12" s="9" t="s">
        <v>3</v>
      </c>
      <c r="I12" s="1"/>
    </row>
    <row r="13" spans="1:9" x14ac:dyDescent="0.25">
      <c r="A13" s="1"/>
      <c r="B13" s="156" t="s">
        <v>247</v>
      </c>
      <c r="C13" s="157"/>
      <c r="D13" s="157"/>
      <c r="E13" s="157"/>
      <c r="F13" s="158"/>
      <c r="G13" s="9">
        <v>0</v>
      </c>
      <c r="H13" s="9" t="s">
        <v>3</v>
      </c>
      <c r="I13" s="1"/>
    </row>
    <row r="14" spans="1:9" x14ac:dyDescent="0.25">
      <c r="A14" s="1"/>
      <c r="B14" s="156" t="s">
        <v>248</v>
      </c>
      <c r="C14" s="157"/>
      <c r="D14" s="157"/>
      <c r="E14" s="157"/>
      <c r="F14" s="158"/>
      <c r="G14" s="9">
        <v>0</v>
      </c>
      <c r="H14" s="9" t="s">
        <v>3</v>
      </c>
      <c r="I14" s="1"/>
    </row>
    <row r="15" spans="1:9" x14ac:dyDescent="0.25">
      <c r="A15" s="1"/>
      <c r="B15" s="156" t="s">
        <v>249</v>
      </c>
      <c r="C15" s="157"/>
      <c r="D15" s="157"/>
      <c r="E15" s="157"/>
      <c r="F15" s="158"/>
      <c r="G15" s="9">
        <v>0</v>
      </c>
      <c r="H15" s="9" t="s">
        <v>3</v>
      </c>
      <c r="I15" s="1"/>
    </row>
    <row r="16" spans="1:9" x14ac:dyDescent="0.25">
      <c r="A16" s="1"/>
      <c r="B16" s="156" t="s">
        <v>250</v>
      </c>
      <c r="C16" s="157"/>
      <c r="D16" s="157"/>
      <c r="E16" s="157"/>
      <c r="F16" s="158"/>
      <c r="G16" s="9">
        <v>0</v>
      </c>
      <c r="H16" s="9" t="s">
        <v>3</v>
      </c>
      <c r="I16" s="1"/>
    </row>
    <row r="17" spans="1:9" x14ac:dyDescent="0.25">
      <c r="A17" s="1"/>
      <c r="B17" s="156" t="s">
        <v>251</v>
      </c>
      <c r="C17" s="157"/>
      <c r="D17" s="157"/>
      <c r="E17" s="157"/>
      <c r="F17" s="158"/>
      <c r="G17" s="9">
        <v>0</v>
      </c>
      <c r="H17" s="9" t="s">
        <v>3</v>
      </c>
      <c r="I17" s="1"/>
    </row>
    <row r="18" spans="1:9" x14ac:dyDescent="0.25">
      <c r="A18" s="1"/>
      <c r="B18" s="128" t="s">
        <v>229</v>
      </c>
      <c r="C18" s="129"/>
      <c r="D18" s="129"/>
      <c r="E18" s="129"/>
      <c r="F18" s="13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NXLOte4QpJtM2jAkvlq8ZOoN2NftUPnHo1KFfB4v7V4gU0pdRNRZo0Z6x+tu4l/pWeYFlj8B34x3faJyGiBQQg==" saltValue="Tr4bCpruqL3kCiQj9HBov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6"/>
  <sheetViews>
    <sheetView showGridLines="0" view="pageLayout" zoomScaleNormal="100" workbookViewId="0"/>
  </sheetViews>
  <sheetFormatPr defaultColWidth="9" defaultRowHeight="15" x14ac:dyDescent="0.25"/>
  <cols>
    <col min="1" max="1" width="2.5703125" style="2" customWidth="1"/>
    <col min="2" max="2" width="23.2851562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425781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220</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8" t="s">
        <v>192</v>
      </c>
      <c r="C8" s="129"/>
      <c r="D8" s="129"/>
      <c r="E8" s="129"/>
      <c r="F8" s="129"/>
      <c r="G8" s="129"/>
      <c r="H8" s="129"/>
      <c r="I8" s="129"/>
      <c r="J8" s="129"/>
      <c r="K8" s="130"/>
      <c r="L8" s="1"/>
    </row>
    <row r="9" spans="1:12" ht="39.75" customHeight="1" x14ac:dyDescent="0.25">
      <c r="A9" s="1"/>
      <c r="B9" s="18" t="s">
        <v>0</v>
      </c>
      <c r="C9" s="18" t="s">
        <v>1</v>
      </c>
      <c r="D9" s="159" t="s">
        <v>213</v>
      </c>
      <c r="E9" s="160"/>
      <c r="F9" s="159" t="s">
        <v>2</v>
      </c>
      <c r="G9" s="160"/>
      <c r="H9" s="159" t="s">
        <v>214</v>
      </c>
      <c r="I9" s="160"/>
      <c r="J9" s="159" t="s">
        <v>28</v>
      </c>
      <c r="K9" s="160"/>
      <c r="L9" s="1"/>
    </row>
    <row r="10" spans="1:12" x14ac:dyDescent="0.25">
      <c r="A10" s="1"/>
      <c r="B10" s="80" t="s">
        <v>230</v>
      </c>
      <c r="C10" s="29">
        <v>0</v>
      </c>
      <c r="D10" s="9">
        <v>0</v>
      </c>
      <c r="E10" s="14" t="s">
        <v>3</v>
      </c>
      <c r="F10" s="39">
        <f>IFERROR(D10/C10,0)</f>
        <v>0</v>
      </c>
      <c r="G10" s="14" t="s">
        <v>3</v>
      </c>
      <c r="H10" s="9">
        <v>0</v>
      </c>
      <c r="I10" s="14" t="s">
        <v>3</v>
      </c>
      <c r="J10" s="9">
        <v>0</v>
      </c>
      <c r="K10" s="14" t="s">
        <v>3</v>
      </c>
      <c r="L10" s="1"/>
    </row>
    <row r="11" spans="1:12" x14ac:dyDescent="0.25">
      <c r="A11" s="1"/>
      <c r="B11" s="66" t="s">
        <v>193</v>
      </c>
      <c r="C11" s="67"/>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86"/>
      <c r="B48" s="86"/>
      <c r="C48" s="86"/>
      <c r="D48" s="86"/>
      <c r="E48" s="86"/>
      <c r="F48" s="86"/>
      <c r="G48" s="86"/>
      <c r="H48" s="86"/>
      <c r="I48" s="86"/>
      <c r="J48" s="86"/>
      <c r="K48" s="86"/>
      <c r="L48" s="86"/>
    </row>
    <row r="49" spans="1:12" x14ac:dyDescent="0.25">
      <c r="A49" s="87"/>
      <c r="B49" s="87"/>
      <c r="C49" s="87"/>
      <c r="D49" s="87"/>
      <c r="E49" s="87"/>
      <c r="F49" s="87"/>
      <c r="G49" s="87"/>
      <c r="H49" s="87"/>
      <c r="I49" s="87"/>
      <c r="J49" s="87"/>
      <c r="K49" s="87"/>
      <c r="L49" s="87"/>
    </row>
    <row r="50" spans="1:12" x14ac:dyDescent="0.25">
      <c r="A50" s="87"/>
      <c r="B50" s="87"/>
      <c r="C50" s="87"/>
      <c r="D50" s="87"/>
      <c r="E50" s="87"/>
      <c r="F50" s="87"/>
      <c r="G50" s="87"/>
      <c r="H50" s="87"/>
      <c r="I50" s="87"/>
      <c r="J50" s="87"/>
      <c r="K50" s="87"/>
      <c r="L50" s="87"/>
    </row>
    <row r="51" spans="1:12" x14ac:dyDescent="0.25">
      <c r="A51" s="87"/>
      <c r="B51" s="87"/>
      <c r="C51" s="87"/>
      <c r="D51" s="87"/>
      <c r="E51" s="87"/>
      <c r="F51" s="87"/>
      <c r="G51" s="87"/>
      <c r="H51" s="87"/>
      <c r="I51" s="87"/>
      <c r="J51" s="87"/>
      <c r="K51" s="87"/>
      <c r="L51" s="87"/>
    </row>
    <row r="52" spans="1:12" x14ac:dyDescent="0.25">
      <c r="A52" s="87"/>
      <c r="B52" s="87"/>
      <c r="C52" s="87"/>
      <c r="D52" s="87"/>
      <c r="E52" s="87"/>
      <c r="F52" s="87"/>
      <c r="G52" s="87"/>
      <c r="H52" s="87"/>
      <c r="I52" s="87"/>
      <c r="J52" s="87"/>
      <c r="K52" s="87"/>
      <c r="L52" s="87"/>
    </row>
    <row r="53" spans="1:12" x14ac:dyDescent="0.25">
      <c r="A53" s="87"/>
      <c r="B53" s="87"/>
      <c r="C53" s="87"/>
      <c r="D53" s="87"/>
      <c r="E53" s="87"/>
      <c r="F53" s="87"/>
      <c r="G53" s="87"/>
      <c r="H53" s="87"/>
      <c r="I53" s="87"/>
      <c r="J53" s="87"/>
      <c r="K53" s="87"/>
      <c r="L53" s="87"/>
    </row>
    <row r="54" spans="1:12" x14ac:dyDescent="0.25">
      <c r="A54" s="87"/>
      <c r="B54" s="87"/>
      <c r="C54" s="87"/>
      <c r="D54" s="87"/>
      <c r="E54" s="87"/>
      <c r="F54" s="87"/>
      <c r="G54" s="87"/>
      <c r="H54" s="87"/>
      <c r="I54" s="87"/>
      <c r="J54" s="87"/>
      <c r="K54" s="87"/>
      <c r="L54" s="87"/>
    </row>
    <row r="55" spans="1:12" x14ac:dyDescent="0.25">
      <c r="A55" s="88"/>
      <c r="B55" s="88"/>
      <c r="C55" s="88"/>
      <c r="D55" s="88"/>
      <c r="E55" s="88"/>
      <c r="F55" s="88"/>
      <c r="G55" s="88"/>
      <c r="H55" s="88"/>
      <c r="I55" s="88"/>
      <c r="J55" s="88"/>
      <c r="K55" s="88"/>
      <c r="L55" s="88"/>
    </row>
    <row r="56" spans="1:12" x14ac:dyDescent="0.25">
      <c r="A56" s="88"/>
      <c r="B56" s="88"/>
      <c r="C56" s="88"/>
      <c r="D56" s="88"/>
      <c r="E56" s="88"/>
      <c r="F56" s="88"/>
      <c r="G56" s="88"/>
      <c r="H56" s="88"/>
      <c r="I56" s="88"/>
      <c r="J56" s="88"/>
      <c r="K56" s="88"/>
      <c r="L56" s="88"/>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2"/>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221</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0</v>
      </c>
      <c r="D11" s="14" t="s">
        <v>3</v>
      </c>
      <c r="E11" s="9">
        <v>1799237</v>
      </c>
      <c r="F11" s="14" t="s">
        <v>3</v>
      </c>
      <c r="G11" s="1"/>
    </row>
    <row r="12" spans="1:7" x14ac:dyDescent="0.25">
      <c r="A12" s="1"/>
      <c r="B12" s="26" t="s">
        <v>242</v>
      </c>
      <c r="C12" s="21">
        <v>0</v>
      </c>
      <c r="D12" s="14" t="s">
        <v>3</v>
      </c>
      <c r="E12" s="9">
        <v>548</v>
      </c>
      <c r="F12" s="14" t="s">
        <v>3</v>
      </c>
      <c r="G12" s="1"/>
    </row>
    <row r="13" spans="1:7" x14ac:dyDescent="0.25">
      <c r="A13" s="1"/>
      <c r="B13" s="26" t="s">
        <v>243</v>
      </c>
      <c r="C13" s="21">
        <v>36039</v>
      </c>
      <c r="D13" s="14" t="s">
        <v>3</v>
      </c>
      <c r="E13" s="9">
        <v>0</v>
      </c>
      <c r="F13" s="14" t="s">
        <v>3</v>
      </c>
      <c r="G13" s="1"/>
    </row>
    <row r="14" spans="1:7" x14ac:dyDescent="0.25">
      <c r="A14" s="1"/>
      <c r="B14" s="66" t="s">
        <v>148</v>
      </c>
      <c r="C14" s="12">
        <f>SUM(C10:C13)</f>
        <v>36039</v>
      </c>
      <c r="D14" s="13" t="s">
        <v>3</v>
      </c>
      <c r="E14" s="12">
        <f>SUM(E10:E13)</f>
        <v>1799785</v>
      </c>
      <c r="F14" s="13" t="s">
        <v>3</v>
      </c>
      <c r="G14" s="1"/>
    </row>
    <row r="15" spans="1:7" x14ac:dyDescent="0.25">
      <c r="A15" s="1"/>
      <c r="B15" s="66" t="s">
        <v>188</v>
      </c>
      <c r="C15" s="12">
        <f>C14*(1+'Fane 13. Nøgletal'!C15)</f>
        <v>37321.988400000002</v>
      </c>
      <c r="D15" s="13" t="s">
        <v>3</v>
      </c>
      <c r="E15" s="12">
        <f>E14*(1+'Fane 13. Nøgletal'!C15)</f>
        <v>1863857.3460000001</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87"/>
      <c r="B48" s="87"/>
      <c r="C48" s="87"/>
      <c r="D48" s="87"/>
      <c r="E48" s="87"/>
      <c r="F48" s="87"/>
      <c r="G48" s="87"/>
    </row>
    <row r="49" spans="1:7" x14ac:dyDescent="0.25">
      <c r="A49" s="87"/>
      <c r="B49" s="87"/>
      <c r="C49" s="87"/>
      <c r="D49" s="87"/>
      <c r="E49" s="87"/>
      <c r="F49" s="87"/>
      <c r="G49" s="87"/>
    </row>
    <row r="50" spans="1:7" x14ac:dyDescent="0.25">
      <c r="A50" s="87"/>
      <c r="B50" s="87"/>
      <c r="C50" s="87"/>
      <c r="D50" s="87"/>
      <c r="E50" s="87"/>
      <c r="F50" s="87"/>
      <c r="G50" s="87"/>
    </row>
    <row r="51" spans="1:7" x14ac:dyDescent="0.25">
      <c r="A51" s="87"/>
      <c r="B51" s="87"/>
      <c r="C51" s="87"/>
      <c r="D51" s="87"/>
      <c r="E51" s="87"/>
      <c r="F51" s="87"/>
      <c r="G51" s="87"/>
    </row>
    <row r="52" spans="1:7" x14ac:dyDescent="0.25">
      <c r="A52" s="88"/>
      <c r="B52" s="88"/>
      <c r="C52" s="88"/>
      <c r="D52" s="88"/>
      <c r="E52" s="88"/>
      <c r="F52" s="88"/>
      <c r="G52" s="88"/>
    </row>
  </sheetData>
  <sheetProtection algorithmName="SHA-512" hashValue="z/052CZxQzRujE8ZZD7jhTjriegK7FFQBsnwXkzjbRCF/M5n7v7JmNf+jdqkmBlgam8GBUEjCfhXD8NiPp3qgQ==" saltValue="kLEw4BMsIf7q0wj7O/e1d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222</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8" t="s">
        <v>88</v>
      </c>
      <c r="C9" s="129"/>
      <c r="D9" s="129"/>
      <c r="E9" s="129"/>
      <c r="F9" s="130"/>
      <c r="G9" s="1"/>
    </row>
    <row r="10" spans="1:7" ht="26.25" x14ac:dyDescent="0.25">
      <c r="A10" s="1"/>
      <c r="B10" s="64" t="s">
        <v>15</v>
      </c>
      <c r="C10" s="64" t="s">
        <v>10</v>
      </c>
      <c r="D10" s="65"/>
      <c r="E10" s="64" t="s">
        <v>29</v>
      </c>
      <c r="F10" s="69"/>
      <c r="G10" s="1"/>
    </row>
    <row r="11" spans="1:7" x14ac:dyDescent="0.25">
      <c r="A11" s="1"/>
      <c r="B11" s="22" t="s">
        <v>243</v>
      </c>
      <c r="C11" s="21">
        <v>180195</v>
      </c>
      <c r="D11" s="14" t="s">
        <v>3</v>
      </c>
      <c r="E11" s="9">
        <v>0</v>
      </c>
      <c r="F11" s="14" t="s">
        <v>3</v>
      </c>
      <c r="G11" s="1"/>
    </row>
    <row r="12" spans="1:7" x14ac:dyDescent="0.25">
      <c r="A12" s="1"/>
      <c r="B12" s="66" t="s">
        <v>195</v>
      </c>
      <c r="C12" s="12">
        <f>SUM(C11:C11)</f>
        <v>180195</v>
      </c>
      <c r="D12" s="13" t="s">
        <v>3</v>
      </c>
      <c r="E12" s="12">
        <f>SUM(E11:E11)</f>
        <v>0</v>
      </c>
      <c r="F12" s="13" t="s">
        <v>3</v>
      </c>
      <c r="G12" s="1"/>
    </row>
    <row r="13" spans="1:7" x14ac:dyDescent="0.25">
      <c r="A13" s="1"/>
      <c r="B13" s="66" t="s">
        <v>119</v>
      </c>
      <c r="C13" s="12">
        <f>C12*(1+'Fane 13. Nøgletal'!$C$15)^2</f>
        <v>193253.25593520002</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ErmYlfQ01GhcYl0vJFPLlvDeUOAUloh9KBkhQwHCaSrsm95oh93wMLPRQ4xayoL7zhG+i4X/fM+vMHzeUSkc0Q==" saltValue="/YJxNb/EfpgaqTvlTVXWu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223</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112</v>
      </c>
      <c r="C8" s="129"/>
      <c r="D8" s="129"/>
      <c r="E8" s="129"/>
      <c r="F8" s="130"/>
      <c r="G8" s="1"/>
    </row>
    <row r="9" spans="1:7" ht="15" customHeight="1" x14ac:dyDescent="0.25">
      <c r="A9" s="1"/>
      <c r="B9" s="68" t="s">
        <v>113</v>
      </c>
      <c r="C9" s="120" t="s">
        <v>10</v>
      </c>
      <c r="D9" s="122"/>
      <c r="E9" s="120" t="s">
        <v>29</v>
      </c>
      <c r="F9" s="122"/>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42578125" style="2" customWidth="1"/>
    <col min="2" max="2" width="36.28515625" style="2" customWidth="1"/>
    <col min="3" max="3" width="17" style="2" customWidth="1"/>
    <col min="4" max="4" width="3.28515625" style="2" customWidth="1"/>
    <col min="5" max="5" width="18.85546875" style="2" customWidth="1"/>
    <col min="6" max="6" width="3.28515625" style="2" customWidth="1"/>
    <col min="7" max="7" width="2.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224</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8" t="s">
        <v>85</v>
      </c>
      <c r="C10" s="129"/>
      <c r="D10" s="129"/>
      <c r="E10" s="129"/>
      <c r="F10" s="130"/>
      <c r="G10" s="1"/>
    </row>
    <row r="11" spans="1:7" x14ac:dyDescent="0.25">
      <c r="A11" s="1"/>
      <c r="B11" s="68" t="s">
        <v>16</v>
      </c>
      <c r="C11" s="68" t="s">
        <v>10</v>
      </c>
      <c r="D11" s="69"/>
      <c r="E11" s="68" t="s">
        <v>29</v>
      </c>
      <c r="F11" s="69"/>
      <c r="G11" s="1"/>
    </row>
    <row r="12" spans="1:7" x14ac:dyDescent="0.25">
      <c r="A12" s="1"/>
      <c r="B12" s="22" t="s">
        <v>240</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31" t="s">
        <v>225</v>
      </c>
      <c r="C3" s="131"/>
      <c r="D3" s="1"/>
    </row>
    <row r="4" spans="1:4" ht="25.5" customHeight="1" x14ac:dyDescent="0.25">
      <c r="A4" s="1"/>
      <c r="B4" s="131"/>
      <c r="C4" s="131"/>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6" t="s">
        <v>13</v>
      </c>
      <c r="C8" s="45"/>
      <c r="D8" s="1"/>
    </row>
    <row r="9" spans="1:4" x14ac:dyDescent="0.25">
      <c r="A9" s="1"/>
      <c r="B9" s="78" t="s">
        <v>101</v>
      </c>
      <c r="C9" s="46">
        <v>1.2699999999999999E-2</v>
      </c>
      <c r="D9" s="1"/>
    </row>
    <row r="10" spans="1:4" x14ac:dyDescent="0.25">
      <c r="A10" s="1"/>
      <c r="B10" s="78" t="s">
        <v>21</v>
      </c>
      <c r="C10" s="46">
        <v>1.7500000000000002E-2</v>
      </c>
      <c r="D10" s="1"/>
    </row>
    <row r="11" spans="1:4" x14ac:dyDescent="0.25">
      <c r="A11" s="1"/>
      <c r="B11" s="78"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8"/>
      <c r="C16" s="130"/>
      <c r="D16" s="1"/>
    </row>
    <row r="17" spans="1:4" x14ac:dyDescent="0.25">
      <c r="A17" s="1"/>
      <c r="B17" s="1"/>
      <c r="C17" s="44"/>
      <c r="D17" s="1"/>
    </row>
    <row r="18" spans="1:4" x14ac:dyDescent="0.25">
      <c r="A18" s="1"/>
      <c r="B18" s="1"/>
      <c r="C18" s="44"/>
      <c r="D18" s="1"/>
    </row>
    <row r="19" spans="1:4" x14ac:dyDescent="0.25">
      <c r="A19" s="1"/>
      <c r="B19" s="66" t="s">
        <v>89</v>
      </c>
      <c r="C19" s="45"/>
      <c r="D19" s="1"/>
    </row>
    <row r="20" spans="1:4" x14ac:dyDescent="0.25">
      <c r="A20" s="1"/>
      <c r="B20" s="78" t="s">
        <v>103</v>
      </c>
      <c r="C20" s="48">
        <v>9.1000000000000004E-3</v>
      </c>
      <c r="D20" s="1"/>
    </row>
    <row r="21" spans="1:4" x14ac:dyDescent="0.25">
      <c r="A21" s="1"/>
      <c r="B21" s="78" t="s">
        <v>104</v>
      </c>
      <c r="C21" s="48">
        <v>1.77E-2</v>
      </c>
      <c r="D21" s="1"/>
    </row>
    <row r="22" spans="1:4" x14ac:dyDescent="0.25">
      <c r="A22" s="1"/>
      <c r="B22" s="78" t="s">
        <v>105</v>
      </c>
      <c r="C22" s="48">
        <v>8.6999999999999994E-3</v>
      </c>
      <c r="D22" s="1"/>
    </row>
    <row r="23" spans="1:4" x14ac:dyDescent="0.25">
      <c r="A23" s="1"/>
      <c r="B23" s="78" t="s">
        <v>106</v>
      </c>
      <c r="C23" s="48">
        <v>2.8399999999999998E-2</v>
      </c>
      <c r="D23" s="1"/>
    </row>
    <row r="24" spans="1:4" x14ac:dyDescent="0.25">
      <c r="A24" s="1"/>
      <c r="B24" s="78" t="s">
        <v>120</v>
      </c>
      <c r="C24" s="48">
        <v>2.75E-2</v>
      </c>
      <c r="D24" s="1"/>
    </row>
    <row r="25" spans="1:4" x14ac:dyDescent="0.25">
      <c r="A25" s="1"/>
      <c r="B25" s="78" t="s">
        <v>151</v>
      </c>
      <c r="C25" s="48">
        <v>1.4800000000000001E-2</v>
      </c>
      <c r="D25" s="1"/>
    </row>
    <row r="26" spans="1:4" x14ac:dyDescent="0.25">
      <c r="A26" s="1"/>
      <c r="B26" s="24" t="s">
        <v>191</v>
      </c>
      <c r="C26" s="48">
        <v>0</v>
      </c>
      <c r="D26" s="1"/>
    </row>
    <row r="27" spans="1:4" x14ac:dyDescent="0.25">
      <c r="A27" s="1"/>
      <c r="B27" s="66"/>
      <c r="C27" s="45"/>
      <c r="D27" s="1"/>
    </row>
    <row r="28" spans="1:4" x14ac:dyDescent="0.25">
      <c r="A28" s="1"/>
      <c r="B28" s="1"/>
      <c r="C28" s="44"/>
      <c r="D28" s="1"/>
    </row>
    <row r="29" spans="1:4" x14ac:dyDescent="0.25">
      <c r="A29" s="1"/>
      <c r="B29" s="1"/>
      <c r="C29" s="44"/>
      <c r="D29" s="1"/>
    </row>
    <row r="30" spans="1:4" x14ac:dyDescent="0.25">
      <c r="A30" s="1"/>
      <c r="B30" s="66" t="s">
        <v>90</v>
      </c>
      <c r="C30" s="45"/>
      <c r="D30" s="1"/>
    </row>
    <row r="31" spans="1:4" x14ac:dyDescent="0.25">
      <c r="A31" s="1"/>
      <c r="B31" s="78" t="s">
        <v>107</v>
      </c>
      <c r="C31" s="46">
        <v>0.02</v>
      </c>
      <c r="D31" s="1"/>
    </row>
    <row r="32" spans="1:4" x14ac:dyDescent="0.25">
      <c r="A32" s="1"/>
      <c r="B32" s="66"/>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40"/>
      <c r="B50" s="40"/>
      <c r="C50" s="89"/>
      <c r="D50" s="40"/>
    </row>
    <row r="51" spans="1:4" x14ac:dyDescent="0.25">
      <c r="A51" s="40"/>
      <c r="B51" s="40"/>
      <c r="C51" s="89"/>
      <c r="D51" s="40"/>
    </row>
    <row r="52" spans="1:4" x14ac:dyDescent="0.25">
      <c r="A52" s="40"/>
      <c r="B52" s="40"/>
      <c r="C52" s="89"/>
      <c r="D52" s="40"/>
    </row>
    <row r="53" spans="1:4" x14ac:dyDescent="0.25">
      <c r="A53" s="40"/>
      <c r="B53" s="40"/>
      <c r="C53" s="89"/>
      <c r="D53" s="40"/>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165</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74" t="s">
        <v>116</v>
      </c>
      <c r="C8" s="7">
        <f>'Fane 3. Omkostninger i ØR2022'!E20</f>
        <v>18640505.838680629</v>
      </c>
      <c r="D8" s="8" t="s">
        <v>3</v>
      </c>
      <c r="E8" s="1"/>
    </row>
    <row r="9" spans="1:5" ht="17.25" customHeight="1" x14ac:dyDescent="0.25">
      <c r="A9" s="1"/>
      <c r="B9" s="23" t="s">
        <v>35</v>
      </c>
      <c r="C9" s="7">
        <f>'Fane 10.1. Varige tillæg'!C15</f>
        <v>37321.988400000002</v>
      </c>
      <c r="D9" s="8" t="s">
        <v>3</v>
      </c>
      <c r="E9" s="1"/>
    </row>
    <row r="10" spans="1:5" ht="17.25" customHeight="1" x14ac:dyDescent="0.25">
      <c r="A10" s="1"/>
      <c r="B10" s="23" t="s">
        <v>36</v>
      </c>
      <c r="C10" s="9">
        <f>'Fane 10.1. Varige tillæg'!E15</f>
        <v>1863857.3460000001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731283.99216167047</v>
      </c>
      <c r="D15" s="8" t="s">
        <v>3</v>
      </c>
      <c r="E15" s="1"/>
    </row>
    <row r="16" spans="1:5" ht="17.25" customHeight="1" x14ac:dyDescent="0.25">
      <c r="A16" s="1"/>
      <c r="B16" s="23" t="s">
        <v>9</v>
      </c>
      <c r="C16" s="9">
        <f>-SUM(C8,C9:C15)*'Fane 5. Individuelt eff. krav'!G9</f>
        <v>-425459.38330484601</v>
      </c>
      <c r="D16" s="8" t="s">
        <v>3</v>
      </c>
      <c r="E16" s="1"/>
    </row>
    <row r="17" spans="1:5" ht="17.25" customHeight="1" x14ac:dyDescent="0.25">
      <c r="A17" s="1"/>
      <c r="B17" s="23" t="s">
        <v>23</v>
      </c>
      <c r="C17" s="9">
        <f>-'Fane 4.1. Gen. krav - drift'!G43</f>
        <v>-182159.61399138707</v>
      </c>
      <c r="D17" s="8" t="s">
        <v>3</v>
      </c>
      <c r="E17" s="1"/>
    </row>
    <row r="18" spans="1:5" ht="17.25" customHeight="1" x14ac:dyDescent="0.25">
      <c r="A18" s="1"/>
      <c r="B18" s="23" t="s">
        <v>24</v>
      </c>
      <c r="C18" s="9">
        <f>-'Fane 4.2. Gen. krav - anlæg'!G43</f>
        <v>0</v>
      </c>
      <c r="D18" s="8" t="s">
        <v>3</v>
      </c>
      <c r="E18" s="1"/>
    </row>
    <row r="19" spans="1:5" ht="17.25" customHeight="1" x14ac:dyDescent="0.25">
      <c r="A19" s="1"/>
      <c r="B19" s="50" t="s">
        <v>19</v>
      </c>
      <c r="C19" s="10">
        <f>SUM(C8,C9:C18)</f>
        <v>20665350.167946067</v>
      </c>
      <c r="D19" s="11" t="s">
        <v>3</v>
      </c>
      <c r="E19" s="1"/>
    </row>
    <row r="20" spans="1:5" ht="15" customHeight="1" x14ac:dyDescent="0.25">
      <c r="A20" s="1"/>
      <c r="B20" s="66" t="s">
        <v>11</v>
      </c>
      <c r="C20" s="67"/>
      <c r="D20" s="19"/>
      <c r="E20" s="1"/>
    </row>
    <row r="21" spans="1:5" ht="15" customHeight="1" x14ac:dyDescent="0.25">
      <c r="A21" s="1"/>
      <c r="B21" s="68" t="s">
        <v>11</v>
      </c>
      <c r="C21" s="10">
        <f>'Fane 6. Ikke-påvirkelige omk.'!C14</f>
        <v>7737129.1593993604</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193253.25593520002</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-7730.1302374080014</v>
      </c>
      <c r="D25" s="8" t="s">
        <v>3</v>
      </c>
      <c r="E25" s="1"/>
    </row>
    <row r="26" spans="1:5" ht="15" customHeight="1" x14ac:dyDescent="0.25">
      <c r="A26" s="1"/>
      <c r="B26" s="23" t="s">
        <v>207</v>
      </c>
      <c r="C26" s="9">
        <f>-C24*('Fane 13. Nøgletal'!C26+'Fane 5. Individuelt eff. krav'!G9)</f>
        <v>0</v>
      </c>
      <c r="D26" s="8" t="s">
        <v>3</v>
      </c>
      <c r="E26" s="1"/>
    </row>
    <row r="27" spans="1:5" x14ac:dyDescent="0.25">
      <c r="A27" s="1"/>
      <c r="B27" s="50" t="s">
        <v>81</v>
      </c>
      <c r="C27" s="90">
        <f>SUM(C23:C26)</f>
        <v>185523.12569779201</v>
      </c>
      <c r="D27" s="11" t="s">
        <v>3</v>
      </c>
      <c r="E27" s="1"/>
    </row>
    <row r="28" spans="1:5" ht="15" customHeight="1" x14ac:dyDescent="0.25">
      <c r="A28" s="1"/>
      <c r="B28" s="25" t="s">
        <v>128</v>
      </c>
      <c r="C28" s="67"/>
      <c r="D28" s="19"/>
      <c r="E28" s="1"/>
    </row>
    <row r="29" spans="1:5" x14ac:dyDescent="0.25">
      <c r="A29" s="1"/>
      <c r="B29" s="79" t="s">
        <v>129</v>
      </c>
      <c r="C29" s="10">
        <f>'Fane 7. Kontrol af ØR2021'!E31</f>
        <v>-448044.23217396252</v>
      </c>
      <c r="D29" s="11" t="s">
        <v>3</v>
      </c>
      <c r="E29" s="1"/>
    </row>
    <row r="30" spans="1:5" x14ac:dyDescent="0.25">
      <c r="A30" s="1"/>
      <c r="B30" s="25" t="s">
        <v>153</v>
      </c>
      <c r="C30" s="67"/>
      <c r="D30" s="19"/>
      <c r="E30" s="1"/>
    </row>
    <row r="31" spans="1:5" x14ac:dyDescent="0.25">
      <c r="A31" s="1"/>
      <c r="B31" s="79" t="s">
        <v>154</v>
      </c>
      <c r="C31" s="10">
        <f>'Fane 8. Skattesagen'!G12</f>
        <v>0</v>
      </c>
      <c r="D31" s="11" t="s">
        <v>3</v>
      </c>
      <c r="E31" s="1"/>
    </row>
    <row r="32" spans="1:5" x14ac:dyDescent="0.25">
      <c r="A32" s="1"/>
      <c r="B32" s="66" t="s">
        <v>84</v>
      </c>
      <c r="C32" s="36">
        <f>SUM(C19,C21,C27,C29,C31)</f>
        <v>28139958.220869258</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NazR5BcP6w/R5Ul6Flm+1vlfXm8kMPlV4PYgHjovquos0aDKIYzplm87uprSJiIxPqTpdeBUGNw1Usf7tYGBw==" saltValue="74+poAO+MmZ3znXfFwS19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166</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66" t="s">
        <v>12</v>
      </c>
      <c r="C7" s="67"/>
      <c r="D7" s="19"/>
      <c r="E7" s="1"/>
    </row>
    <row r="8" spans="1:5" ht="15" customHeight="1" x14ac:dyDescent="0.25">
      <c r="A8" s="1"/>
      <c r="B8" s="74" t="s">
        <v>117</v>
      </c>
      <c r="C8" s="7">
        <f>'Fane 2.1. Økonomisk ramme 2023'!C19</f>
        <v>20665350.167946067</v>
      </c>
      <c r="D8" s="8" t="s">
        <v>3</v>
      </c>
      <c r="E8" s="1"/>
    </row>
    <row r="9" spans="1:5" ht="15" customHeight="1" x14ac:dyDescent="0.25">
      <c r="A9" s="1"/>
      <c r="B9" s="63" t="s">
        <v>17</v>
      </c>
      <c r="C9" s="9">
        <f>SUM(C8:C8)*'Fane 13. Nøgletal'!C15</f>
        <v>735686.46597887995</v>
      </c>
      <c r="D9" s="8" t="s">
        <v>3</v>
      </c>
      <c r="E9" s="1"/>
    </row>
    <row r="10" spans="1:5" ht="15" customHeight="1" x14ac:dyDescent="0.25">
      <c r="A10" s="1"/>
      <c r="B10" s="63" t="s">
        <v>9</v>
      </c>
      <c r="C10" s="9">
        <f>-SUM(C8:C9)*'Fane 5. Individuelt eff. krav'!G9</f>
        <v>-428020.73267849896</v>
      </c>
      <c r="D10" s="8" t="s">
        <v>3</v>
      </c>
      <c r="E10" s="1"/>
    </row>
    <row r="11" spans="1:5" ht="15" customHeight="1" x14ac:dyDescent="0.25">
      <c r="A11" s="1"/>
      <c r="B11" s="63" t="s">
        <v>23</v>
      </c>
      <c r="C11" s="9">
        <f>-'Fane 4.1. Gen. krav - drift'!G48</f>
        <v>-184871.60632449086</v>
      </c>
      <c r="D11" s="8" t="s">
        <v>3</v>
      </c>
      <c r="E11" s="1"/>
    </row>
    <row r="12" spans="1:5" ht="15" customHeight="1" x14ac:dyDescent="0.25">
      <c r="A12" s="1"/>
      <c r="B12" s="63" t="s">
        <v>24</v>
      </c>
      <c r="C12" s="9">
        <f>-'Fane 4.2. Gen. krav - anlæg'!G48</f>
        <v>0</v>
      </c>
      <c r="D12" s="8" t="s">
        <v>3</v>
      </c>
      <c r="E12" s="1"/>
    </row>
    <row r="13" spans="1:5" ht="15" customHeight="1" x14ac:dyDescent="0.25">
      <c r="A13" s="1"/>
      <c r="B13" s="33" t="s">
        <v>19</v>
      </c>
      <c r="C13" s="10">
        <f>SUM(C8:C12)</f>
        <v>20788144.294921957</v>
      </c>
      <c r="D13" s="11" t="s">
        <v>3</v>
      </c>
      <c r="E13" s="1"/>
    </row>
    <row r="14" spans="1:5" x14ac:dyDescent="0.25">
      <c r="A14" s="1"/>
      <c r="B14" s="66" t="s">
        <v>11</v>
      </c>
      <c r="C14" s="67"/>
      <c r="D14" s="19"/>
      <c r="E14" s="1"/>
    </row>
    <row r="15" spans="1:5" ht="15" customHeight="1" x14ac:dyDescent="0.25">
      <c r="A15" s="1"/>
      <c r="B15" s="68" t="s">
        <v>11</v>
      </c>
      <c r="C15" s="10">
        <f>'Fane 6. Ikke-påvirkelige omk.'!C14*(1+'Fane 13. Nøgletal'!C15)</f>
        <v>8012570.9574739784</v>
      </c>
      <c r="D15" s="11" t="s">
        <v>3</v>
      </c>
      <c r="E15" s="1"/>
    </row>
    <row r="16" spans="1:5" x14ac:dyDescent="0.25">
      <c r="A16" s="1"/>
      <c r="B16" s="25" t="s">
        <v>128</v>
      </c>
      <c r="C16" s="67"/>
      <c r="D16" s="19"/>
      <c r="E16" s="1"/>
    </row>
    <row r="17" spans="1:5" ht="15" customHeight="1" x14ac:dyDescent="0.25">
      <c r="A17" s="1"/>
      <c r="B17" s="79" t="s">
        <v>129</v>
      </c>
      <c r="C17" s="10">
        <f>'Fane 7. Kontrol af ØR2021'!E31</f>
        <v>-448044.23217396252</v>
      </c>
      <c r="D17" s="11" t="s">
        <v>3</v>
      </c>
      <c r="E17" s="1"/>
    </row>
    <row r="18" spans="1:5" x14ac:dyDescent="0.25">
      <c r="A18" s="1"/>
      <c r="B18" s="25" t="s">
        <v>153</v>
      </c>
      <c r="C18" s="67"/>
      <c r="D18" s="19"/>
      <c r="E18" s="1"/>
    </row>
    <row r="19" spans="1:5" x14ac:dyDescent="0.25">
      <c r="A19" s="1"/>
      <c r="B19" s="79" t="s">
        <v>154</v>
      </c>
      <c r="C19" s="10">
        <f>'Fane 8. Skattesagen'!G13</f>
        <v>0</v>
      </c>
      <c r="D19" s="11" t="s">
        <v>3</v>
      </c>
      <c r="E19" s="1"/>
    </row>
    <row r="20" spans="1:5" x14ac:dyDescent="0.25">
      <c r="A20" s="1"/>
      <c r="B20" s="66" t="s">
        <v>138</v>
      </c>
      <c r="C20" s="12">
        <f>SUM(C13,C15,C17,C19)</f>
        <v>28352671.020221971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2ivx4Fr9bvoLfsN0Bo2Xs/MYaC32vwhGygofqlcapv9m7t9nRU6ucFIMZGSjgIOsZ2thQodeGqEm9k1divyEQ==" saltValue="Dl2u/qJ71Tbzk6x7oTaR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167</v>
      </c>
      <c r="C3" s="109"/>
      <c r="D3" s="109"/>
      <c r="E3" s="1"/>
    </row>
    <row r="4" spans="1:5" ht="15" customHeight="1" x14ac:dyDescent="0.25">
      <c r="A4" s="1"/>
      <c r="B4" s="109"/>
      <c r="C4" s="109"/>
      <c r="D4" s="109"/>
      <c r="E4" s="1"/>
    </row>
    <row r="5" spans="1:5" x14ac:dyDescent="0.25">
      <c r="A5" s="1"/>
      <c r="B5" s="110" t="s">
        <v>20</v>
      </c>
      <c r="C5" s="110"/>
      <c r="D5" s="110"/>
      <c r="E5" s="1"/>
    </row>
    <row r="6" spans="1:5" x14ac:dyDescent="0.25">
      <c r="A6" s="1"/>
      <c r="B6" s="1"/>
      <c r="C6" s="1"/>
      <c r="D6" s="1"/>
      <c r="E6" s="1"/>
    </row>
    <row r="7" spans="1:5" x14ac:dyDescent="0.25">
      <c r="A7" s="1"/>
      <c r="B7" s="66" t="s">
        <v>12</v>
      </c>
      <c r="C7" s="67"/>
      <c r="D7" s="19"/>
      <c r="E7" s="1"/>
    </row>
    <row r="8" spans="1:5" ht="15" customHeight="1" x14ac:dyDescent="0.25">
      <c r="A8" s="1"/>
      <c r="B8" s="74" t="s">
        <v>139</v>
      </c>
      <c r="C8" s="7">
        <f>'Fane 2.2. Økonomisk ramme 2024'!C13</f>
        <v>20788144.294921957</v>
      </c>
      <c r="D8" s="8" t="s">
        <v>3</v>
      </c>
      <c r="E8" s="1"/>
    </row>
    <row r="9" spans="1:5" ht="15" customHeight="1" x14ac:dyDescent="0.25">
      <c r="A9" s="1"/>
      <c r="B9" s="63" t="s">
        <v>17</v>
      </c>
      <c r="C9" s="9">
        <f>SUM(C8:C8)*'Fane 13. Nøgletal'!C15</f>
        <v>740057.93689922162</v>
      </c>
      <c r="D9" s="8" t="s">
        <v>3</v>
      </c>
      <c r="E9" s="1"/>
    </row>
    <row r="10" spans="1:5" ht="15" customHeight="1" x14ac:dyDescent="0.25">
      <c r="A10" s="1"/>
      <c r="B10" s="63" t="s">
        <v>9</v>
      </c>
      <c r="C10" s="9">
        <f>-SUM(C8:C9)*'Fane 5. Individuelt eff. krav'!G9</f>
        <v>-430564.04463642358</v>
      </c>
      <c r="D10" s="8" t="s">
        <v>3</v>
      </c>
      <c r="E10" s="1"/>
    </row>
    <row r="11" spans="1:5" ht="15" customHeight="1" x14ac:dyDescent="0.25">
      <c r="A11" s="1"/>
      <c r="B11" s="63" t="s">
        <v>23</v>
      </c>
      <c r="C11" s="9">
        <f>-'Fane 4.1. Gen. krav - drift'!G53</f>
        <v>-187623.97479944993</v>
      </c>
      <c r="D11" s="8" t="s">
        <v>3</v>
      </c>
      <c r="E11" s="1"/>
    </row>
    <row r="12" spans="1:5" ht="15" customHeight="1" x14ac:dyDescent="0.25">
      <c r="A12" s="1"/>
      <c r="B12" s="63" t="s">
        <v>24</v>
      </c>
      <c r="C12" s="27">
        <f>-'Fane 4.2. Gen. krav - anlæg'!G53</f>
        <v>0</v>
      </c>
      <c r="D12" s="8" t="s">
        <v>3</v>
      </c>
      <c r="E12" s="1"/>
    </row>
    <row r="13" spans="1:5" x14ac:dyDescent="0.25">
      <c r="A13" s="1"/>
      <c r="B13" s="33" t="s">
        <v>19</v>
      </c>
      <c r="C13" s="10">
        <f>SUM(C8:C12)</f>
        <v>20910014.212385304</v>
      </c>
      <c r="D13" s="11" t="s">
        <v>3</v>
      </c>
      <c r="E13" s="1"/>
    </row>
    <row r="14" spans="1:5" x14ac:dyDescent="0.25">
      <c r="A14" s="1"/>
      <c r="B14" s="66" t="s">
        <v>11</v>
      </c>
      <c r="C14" s="67"/>
      <c r="D14" s="19"/>
      <c r="E14" s="1"/>
    </row>
    <row r="15" spans="1:5" ht="15" customHeight="1" x14ac:dyDescent="0.25">
      <c r="A15" s="1"/>
      <c r="B15" s="68" t="s">
        <v>11</v>
      </c>
      <c r="C15" s="10">
        <f>'Fane 6. Ikke-påvirkelige omk.'!C14*(1+'Fane 13. Nøgletal'!C15)^2</f>
        <v>8297818.4835600518</v>
      </c>
      <c r="D15" s="11" t="s">
        <v>3</v>
      </c>
      <c r="E15" s="1"/>
    </row>
    <row r="16" spans="1:5" x14ac:dyDescent="0.25">
      <c r="A16" s="1"/>
      <c r="B16" s="66" t="s">
        <v>128</v>
      </c>
      <c r="C16" s="67"/>
      <c r="D16" s="19"/>
      <c r="E16" s="1"/>
    </row>
    <row r="17" spans="1:5" x14ac:dyDescent="0.25">
      <c r="A17" s="1"/>
      <c r="B17" s="68" t="s">
        <v>129</v>
      </c>
      <c r="C17" s="10">
        <v>0</v>
      </c>
      <c r="D17" s="11" t="s">
        <v>3</v>
      </c>
      <c r="E17" s="1"/>
    </row>
    <row r="18" spans="1:5" ht="15" customHeight="1" x14ac:dyDescent="0.25">
      <c r="A18" s="1"/>
      <c r="B18" s="25" t="s">
        <v>153</v>
      </c>
      <c r="C18" s="67"/>
      <c r="D18" s="19"/>
      <c r="E18" s="1"/>
    </row>
    <row r="19" spans="1:5" ht="15" customHeight="1" x14ac:dyDescent="0.25">
      <c r="A19" s="1"/>
      <c r="B19" s="79" t="s">
        <v>154</v>
      </c>
      <c r="C19" s="10">
        <f>'Fane 8. Skattesagen'!G14</f>
        <v>0</v>
      </c>
      <c r="D19" s="11" t="s">
        <v>3</v>
      </c>
      <c r="E19" s="1"/>
    </row>
    <row r="20" spans="1:5" x14ac:dyDescent="0.25">
      <c r="A20" s="1"/>
      <c r="B20" s="66" t="s">
        <v>140</v>
      </c>
      <c r="C20" s="12">
        <f>SUM(C13,C15,C17,C19)</f>
        <v>29207832.695945356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9zUvIDddFI9E+4ne9707Z8ZqW1Xj0DmpPnHCI5dgaQO8iUd2LnNa8uqEelHYfIBAdy+gHYaVTOPKvO2l0kdAXw==" saltValue="pBSenm5tqWq+cuRvdQt1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168</v>
      </c>
      <c r="C3" s="109"/>
      <c r="D3" s="109"/>
      <c r="E3" s="1"/>
    </row>
    <row r="4" spans="1:5" ht="15" customHeight="1" x14ac:dyDescent="0.25">
      <c r="A4" s="1"/>
      <c r="B4" s="109"/>
      <c r="C4" s="109"/>
      <c r="D4" s="109"/>
      <c r="E4" s="1"/>
    </row>
    <row r="5" spans="1:5" x14ac:dyDescent="0.25">
      <c r="A5" s="1"/>
      <c r="B5" s="110" t="s">
        <v>20</v>
      </c>
      <c r="C5" s="110"/>
      <c r="D5" s="110"/>
      <c r="E5" s="1"/>
    </row>
    <row r="6" spans="1:5" x14ac:dyDescent="0.25">
      <c r="A6" s="1"/>
      <c r="B6" s="1"/>
      <c r="C6" s="1"/>
      <c r="D6" s="1"/>
      <c r="E6" s="1"/>
    </row>
    <row r="7" spans="1:5" x14ac:dyDescent="0.25">
      <c r="A7" s="1"/>
      <c r="B7" s="66" t="s">
        <v>12</v>
      </c>
      <c r="C7" s="67"/>
      <c r="D7" s="19"/>
      <c r="E7" s="1"/>
    </row>
    <row r="8" spans="1:5" ht="15" customHeight="1" x14ac:dyDescent="0.25">
      <c r="A8" s="1"/>
      <c r="B8" s="74" t="s">
        <v>169</v>
      </c>
      <c r="C8" s="7">
        <f>'Fane 2.3. Økonomisk ramme 2025'!C13</f>
        <v>20910014.212385304</v>
      </c>
      <c r="D8" s="8" t="s">
        <v>3</v>
      </c>
      <c r="E8" s="1"/>
    </row>
    <row r="9" spans="1:5" ht="15" customHeight="1" x14ac:dyDescent="0.25">
      <c r="A9" s="1"/>
      <c r="B9" s="63" t="s">
        <v>17</v>
      </c>
      <c r="C9" s="9">
        <f>SUM(C8:C8)*'Fane 13. Nøgletal'!C15</f>
        <v>744396.50596091687</v>
      </c>
      <c r="D9" s="8" t="s">
        <v>3</v>
      </c>
      <c r="E9" s="1"/>
    </row>
    <row r="10" spans="1:5" ht="15" customHeight="1" x14ac:dyDescent="0.25">
      <c r="A10" s="1"/>
      <c r="B10" s="63" t="s">
        <v>9</v>
      </c>
      <c r="C10" s="9">
        <f>-SUM(C8:C9)*'Fane 5. Individuelt eff. krav'!G9</f>
        <v>-433088.21436692443</v>
      </c>
      <c r="D10" s="8" t="s">
        <v>3</v>
      </c>
      <c r="E10" s="1"/>
    </row>
    <row r="11" spans="1:5" ht="15" customHeight="1" x14ac:dyDescent="0.25">
      <c r="A11" s="1"/>
      <c r="B11" s="63" t="s">
        <v>23</v>
      </c>
      <c r="C11" s="9">
        <f>-'Fane 4.1. Gen. krav - drift'!G58</f>
        <v>-190417.32053626416</v>
      </c>
      <c r="D11" s="8" t="s">
        <v>3</v>
      </c>
      <c r="E11" s="1"/>
    </row>
    <row r="12" spans="1:5" ht="15" customHeight="1" x14ac:dyDescent="0.25">
      <c r="A12" s="1"/>
      <c r="B12" s="63" t="s">
        <v>24</v>
      </c>
      <c r="C12" s="9">
        <f>-'Fane 4.2. Gen. krav - anlæg'!G58</f>
        <v>0</v>
      </c>
      <c r="D12" s="8" t="s">
        <v>3</v>
      </c>
      <c r="E12" s="1"/>
    </row>
    <row r="13" spans="1:5" x14ac:dyDescent="0.25">
      <c r="A13" s="1"/>
      <c r="B13" s="33" t="s">
        <v>19</v>
      </c>
      <c r="C13" s="10">
        <f>SUM(C8:C12)</f>
        <v>21030905.183443032</v>
      </c>
      <c r="D13" s="11" t="s">
        <v>3</v>
      </c>
      <c r="E13" s="1"/>
    </row>
    <row r="14" spans="1:5" x14ac:dyDescent="0.25">
      <c r="A14" s="1"/>
      <c r="B14" s="66" t="s">
        <v>11</v>
      </c>
      <c r="C14" s="67"/>
      <c r="D14" s="19"/>
      <c r="E14" s="1"/>
    </row>
    <row r="15" spans="1:5" ht="15" customHeight="1" x14ac:dyDescent="0.25">
      <c r="A15" s="1"/>
      <c r="B15" s="68" t="s">
        <v>11</v>
      </c>
      <c r="C15" s="10">
        <f>'Fane 6. Ikke-påvirkelige omk.'!C14*(1+'Fane 13. Nøgletal'!C15)^3</f>
        <v>8593220.8215747904</v>
      </c>
      <c r="D15" s="11" t="s">
        <v>3</v>
      </c>
      <c r="E15" s="1"/>
    </row>
    <row r="16" spans="1:5" x14ac:dyDescent="0.25">
      <c r="A16" s="1"/>
      <c r="B16" s="66" t="s">
        <v>128</v>
      </c>
      <c r="C16" s="67"/>
      <c r="D16" s="19"/>
      <c r="E16" s="1"/>
    </row>
    <row r="17" spans="1:5" x14ac:dyDescent="0.25">
      <c r="A17" s="1"/>
      <c r="B17" s="68" t="s">
        <v>129</v>
      </c>
      <c r="C17" s="10">
        <v>0</v>
      </c>
      <c r="D17" s="11" t="s">
        <v>3</v>
      </c>
      <c r="E17" s="1"/>
    </row>
    <row r="18" spans="1:5" x14ac:dyDescent="0.25">
      <c r="A18" s="1"/>
      <c r="B18" s="25" t="s">
        <v>153</v>
      </c>
      <c r="C18" s="67"/>
      <c r="D18" s="19"/>
      <c r="E18" s="1"/>
    </row>
    <row r="19" spans="1:5" x14ac:dyDescent="0.25">
      <c r="A19" s="1"/>
      <c r="B19" s="79" t="s">
        <v>154</v>
      </c>
      <c r="C19" s="10">
        <f>'Fane 8. Skattesagen'!G15</f>
        <v>0</v>
      </c>
      <c r="D19" s="11" t="s">
        <v>3</v>
      </c>
      <c r="E19" s="1"/>
    </row>
    <row r="20" spans="1:5" x14ac:dyDescent="0.25">
      <c r="A20" s="1"/>
      <c r="B20" s="66" t="s">
        <v>170</v>
      </c>
      <c r="C20" s="12">
        <f>SUM(C13,C15,C17,C19)</f>
        <v>29624126.005017824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TZpFiYJrmF2XTzmEINj2hafJGcB9TBAESBxZkPlzXAnseBZXZZkRC7KjHHeNurb3eLI1kaSz369gZK4J757sg==" saltValue="oN7OmRBv1uf1P2Y6iQ638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171</v>
      </c>
      <c r="C3" s="131"/>
      <c r="D3" s="131"/>
      <c r="E3" s="131"/>
      <c r="F3" s="131"/>
      <c r="G3" s="1"/>
    </row>
    <row r="4" spans="1:7" ht="29.2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172</v>
      </c>
      <c r="C8" s="67"/>
      <c r="D8" s="67"/>
      <c r="E8" s="67"/>
      <c r="F8" s="19"/>
      <c r="G8" s="1"/>
    </row>
    <row r="9" spans="1:7" x14ac:dyDescent="0.25">
      <c r="A9" s="1"/>
      <c r="B9" s="132" t="s">
        <v>22</v>
      </c>
      <c r="C9" s="133"/>
      <c r="D9" s="134"/>
      <c r="E9" s="7">
        <v>18054134.157134619</v>
      </c>
      <c r="F9" s="8" t="s">
        <v>3</v>
      </c>
      <c r="G9" s="1"/>
    </row>
    <row r="10" spans="1:7" ht="15" customHeight="1" x14ac:dyDescent="0.25">
      <c r="A10" s="1"/>
      <c r="B10" s="114" t="s">
        <v>35</v>
      </c>
      <c r="C10" s="115"/>
      <c r="D10" s="116"/>
      <c r="E10" s="9">
        <v>0</v>
      </c>
      <c r="F10" s="8" t="s">
        <v>3</v>
      </c>
      <c r="G10" s="1"/>
    </row>
    <row r="11" spans="1:7" ht="15" customHeight="1" x14ac:dyDescent="0.25">
      <c r="A11" s="1"/>
      <c r="B11" s="114" t="s">
        <v>36</v>
      </c>
      <c r="C11" s="115"/>
      <c r="D11" s="116"/>
      <c r="E11" s="9">
        <v>1258006.7677000002</v>
      </c>
      <c r="F11" s="8" t="s">
        <v>3</v>
      </c>
      <c r="G11" s="1"/>
    </row>
    <row r="12" spans="1:7" x14ac:dyDescent="0.25">
      <c r="A12" s="1"/>
      <c r="B12" s="114" t="s">
        <v>26</v>
      </c>
      <c r="C12" s="115"/>
      <c r="D12" s="116"/>
      <c r="E12" s="9">
        <v>0</v>
      </c>
      <c r="F12" s="8" t="s">
        <v>3</v>
      </c>
      <c r="G12" s="1"/>
    </row>
    <row r="13" spans="1:7" x14ac:dyDescent="0.25">
      <c r="A13" s="1"/>
      <c r="B13" s="114" t="s">
        <v>25</v>
      </c>
      <c r="C13" s="115"/>
      <c r="D13" s="116"/>
      <c r="E13" s="9">
        <v>0</v>
      </c>
      <c r="F13" s="8" t="s">
        <v>3</v>
      </c>
      <c r="G13" s="1"/>
    </row>
    <row r="14" spans="1:7" x14ac:dyDescent="0.25">
      <c r="A14" s="1"/>
      <c r="B14" s="114" t="s">
        <v>114</v>
      </c>
      <c r="C14" s="115"/>
      <c r="D14" s="116"/>
      <c r="E14" s="9">
        <v>0</v>
      </c>
      <c r="F14" s="8" t="s">
        <v>3</v>
      </c>
      <c r="G14" s="1"/>
    </row>
    <row r="15" spans="1:7" x14ac:dyDescent="0.25">
      <c r="A15" s="1"/>
      <c r="B15" s="114" t="s">
        <v>115</v>
      </c>
      <c r="C15" s="115"/>
      <c r="D15" s="116"/>
      <c r="E15" s="9">
        <v>0</v>
      </c>
      <c r="F15" s="8" t="s">
        <v>3</v>
      </c>
      <c r="G15" s="1"/>
    </row>
    <row r="16" spans="1:7" x14ac:dyDescent="0.25">
      <c r="A16" s="1"/>
      <c r="B16" s="114" t="s">
        <v>17</v>
      </c>
      <c r="C16" s="115"/>
      <c r="D16" s="116"/>
      <c r="E16" s="9">
        <v>224411.85905045236</v>
      </c>
      <c r="F16" s="8" t="s">
        <v>3</v>
      </c>
      <c r="G16" s="30"/>
    </row>
    <row r="17" spans="1:7" x14ac:dyDescent="0.25">
      <c r="A17" s="1"/>
      <c r="B17" s="114" t="s">
        <v>9</v>
      </c>
      <c r="C17" s="115"/>
      <c r="D17" s="116"/>
      <c r="E17" s="9">
        <v>-390731.05567770149</v>
      </c>
      <c r="F17" s="8" t="s">
        <v>3</v>
      </c>
      <c r="G17" s="1"/>
    </row>
    <row r="18" spans="1:7" x14ac:dyDescent="0.25">
      <c r="A18" s="1"/>
      <c r="B18" s="114" t="s">
        <v>23</v>
      </c>
      <c r="C18" s="115"/>
      <c r="D18" s="116"/>
      <c r="E18" s="9">
        <v>-178725.73226567489</v>
      </c>
      <c r="F18" s="8" t="s">
        <v>3</v>
      </c>
      <c r="G18" s="1"/>
    </row>
    <row r="19" spans="1:7" x14ac:dyDescent="0.25">
      <c r="A19" s="1"/>
      <c r="B19" s="114" t="s">
        <v>24</v>
      </c>
      <c r="C19" s="115"/>
      <c r="D19" s="116"/>
      <c r="E19" s="9">
        <v>-326590.15726106946</v>
      </c>
      <c r="F19" s="8" t="s">
        <v>3</v>
      </c>
      <c r="G19" s="1"/>
    </row>
    <row r="20" spans="1:7" x14ac:dyDescent="0.25">
      <c r="A20" s="1"/>
      <c r="B20" s="117" t="s">
        <v>19</v>
      </c>
      <c r="C20" s="118"/>
      <c r="D20" s="119"/>
      <c r="E20" s="31">
        <f>SUM(E9:E19)</f>
        <v>18640505.838680629</v>
      </c>
      <c r="F20" s="34" t="s">
        <v>3</v>
      </c>
      <c r="G20" s="1"/>
    </row>
    <row r="21" spans="1:7" x14ac:dyDescent="0.25">
      <c r="A21" s="1"/>
      <c r="B21" s="66" t="s">
        <v>11</v>
      </c>
      <c r="C21" s="67"/>
      <c r="D21" s="67"/>
      <c r="E21" s="67"/>
      <c r="F21" s="19"/>
      <c r="G21" s="1"/>
    </row>
    <row r="22" spans="1:7" x14ac:dyDescent="0.25">
      <c r="A22" s="1"/>
      <c r="B22" s="125" t="s">
        <v>11</v>
      </c>
      <c r="C22" s="126"/>
      <c r="D22" s="127"/>
      <c r="E22" s="10">
        <v>7162508.5828574114</v>
      </c>
      <c r="F22" s="11" t="s">
        <v>3</v>
      </c>
      <c r="G22" s="1"/>
    </row>
    <row r="23" spans="1:7" ht="15" customHeight="1" x14ac:dyDescent="0.25">
      <c r="A23" s="1"/>
      <c r="B23" s="123" t="s">
        <v>80</v>
      </c>
      <c r="C23" s="124"/>
      <c r="D23" s="124"/>
      <c r="E23" s="67"/>
      <c r="F23" s="67"/>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20" t="s">
        <v>81</v>
      </c>
      <c r="C26" s="121"/>
      <c r="D26" s="121"/>
      <c r="E26" s="10">
        <v>0</v>
      </c>
      <c r="F26" s="11" t="s">
        <v>3</v>
      </c>
      <c r="G26" s="1"/>
    </row>
    <row r="27" spans="1:7" x14ac:dyDescent="0.25">
      <c r="A27" s="1"/>
      <c r="B27" s="66" t="s">
        <v>128</v>
      </c>
      <c r="C27" s="67"/>
      <c r="D27" s="67"/>
      <c r="E27" s="67"/>
      <c r="F27" s="19"/>
      <c r="G27" s="1"/>
    </row>
    <row r="28" spans="1:7" ht="15" customHeight="1" x14ac:dyDescent="0.25">
      <c r="A28" s="1"/>
      <c r="B28" s="120" t="s">
        <v>129</v>
      </c>
      <c r="C28" s="121"/>
      <c r="D28" s="122"/>
      <c r="E28" s="10">
        <v>-90659</v>
      </c>
      <c r="F28" s="11" t="s">
        <v>3</v>
      </c>
      <c r="G28" s="1"/>
    </row>
    <row r="29" spans="1:7" x14ac:dyDescent="0.25">
      <c r="A29" s="1"/>
      <c r="B29" s="66" t="s">
        <v>159</v>
      </c>
      <c r="C29" s="67"/>
      <c r="D29" s="67"/>
      <c r="E29" s="67"/>
      <c r="F29" s="19"/>
      <c r="G29" s="1"/>
    </row>
    <row r="30" spans="1:7" ht="15.75" customHeight="1" x14ac:dyDescent="0.25">
      <c r="A30" s="1"/>
      <c r="B30" s="125" t="s">
        <v>160</v>
      </c>
      <c r="C30" s="126"/>
      <c r="D30" s="127"/>
      <c r="E30" s="10">
        <v>0</v>
      </c>
      <c r="F30" s="11" t="s">
        <v>3</v>
      </c>
      <c r="G30" s="1"/>
    </row>
    <row r="31" spans="1:7" ht="15.75" customHeight="1" x14ac:dyDescent="0.25">
      <c r="A31" s="1"/>
      <c r="B31" s="128" t="s">
        <v>153</v>
      </c>
      <c r="C31" s="129"/>
      <c r="D31" s="129"/>
      <c r="E31" s="129"/>
      <c r="F31" s="130"/>
      <c r="G31" s="1"/>
    </row>
    <row r="32" spans="1:7" ht="15.75" customHeight="1" x14ac:dyDescent="0.25">
      <c r="A32" s="1"/>
      <c r="B32" s="79" t="s">
        <v>154</v>
      </c>
      <c r="C32" s="10"/>
      <c r="D32" s="11"/>
      <c r="E32" s="10">
        <f>'Fane 8. Skattesagen'!G11</f>
        <v>0</v>
      </c>
      <c r="F32" s="11" t="s">
        <v>3</v>
      </c>
      <c r="G32" s="1"/>
    </row>
    <row r="33" spans="1:7" x14ac:dyDescent="0.25">
      <c r="A33" s="1"/>
      <c r="B33" s="35" t="s">
        <v>27</v>
      </c>
      <c r="C33" s="38"/>
      <c r="D33" s="38"/>
      <c r="E33" s="32">
        <f>E20+E22+E26+E28+E30+E32</f>
        <v>25712355.42153804</v>
      </c>
      <c r="F33" s="37"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5.5703125" style="2" customWidth="1"/>
    <col min="9" max="9" width="6.7109375" style="2" customWidth="1"/>
    <col min="10" max="16384" width="9" style="2"/>
  </cols>
  <sheetData>
    <row r="1" spans="1:9" ht="15" customHeight="1" x14ac:dyDescent="0.25">
      <c r="A1" s="1"/>
      <c r="B1" s="131" t="s">
        <v>98</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1"/>
      <c r="C3" s="131"/>
      <c r="D3" s="131"/>
      <c r="E3" s="131"/>
      <c r="F3" s="131"/>
      <c r="G3" s="131"/>
      <c r="H3" s="131"/>
      <c r="I3" s="1"/>
    </row>
    <row r="4" spans="1:9" x14ac:dyDescent="0.25">
      <c r="A4" s="1"/>
      <c r="B4" s="128" t="s">
        <v>49</v>
      </c>
      <c r="C4" s="129"/>
      <c r="D4" s="129"/>
      <c r="E4" s="129"/>
      <c r="F4" s="129"/>
      <c r="G4" s="129"/>
      <c r="H4" s="130"/>
      <c r="I4" s="1"/>
    </row>
    <row r="5" spans="1:9" x14ac:dyDescent="0.25">
      <c r="A5" s="1"/>
      <c r="B5" s="135" t="s">
        <v>38</v>
      </c>
      <c r="C5" s="136"/>
      <c r="D5" s="136"/>
      <c r="E5" s="136"/>
      <c r="F5" s="137"/>
      <c r="G5" s="57">
        <v>7727377.2794819884</v>
      </c>
      <c r="H5" s="14" t="s">
        <v>3</v>
      </c>
      <c r="I5" s="1"/>
    </row>
    <row r="6" spans="1:9" x14ac:dyDescent="0.25">
      <c r="A6" s="1"/>
      <c r="B6" s="135" t="s">
        <v>39</v>
      </c>
      <c r="C6" s="136"/>
      <c r="D6" s="136"/>
      <c r="E6" s="136"/>
      <c r="F6" s="137"/>
      <c r="G6" s="57">
        <f>G5*'Fane 13. Nøgletal'!C31</f>
        <v>154547.54558963978</v>
      </c>
      <c r="H6" s="14" t="s">
        <v>3</v>
      </c>
      <c r="I6" s="1"/>
    </row>
    <row r="7" spans="1:9" x14ac:dyDescent="0.25">
      <c r="A7" s="1"/>
      <c r="B7" s="66"/>
      <c r="C7" s="67"/>
      <c r="D7" s="67"/>
      <c r="E7" s="67"/>
      <c r="F7" s="67"/>
      <c r="G7" s="58"/>
      <c r="H7" s="19"/>
      <c r="I7" s="1"/>
    </row>
    <row r="8" spans="1:9" x14ac:dyDescent="0.25">
      <c r="A8" s="1"/>
      <c r="B8" s="1"/>
      <c r="C8" s="1"/>
      <c r="D8" s="1"/>
      <c r="E8" s="1"/>
      <c r="F8" s="1"/>
      <c r="G8" s="59"/>
      <c r="H8" s="1"/>
      <c r="I8" s="1"/>
    </row>
    <row r="9" spans="1:9" x14ac:dyDescent="0.25">
      <c r="A9" s="1"/>
      <c r="B9" s="128" t="s">
        <v>50</v>
      </c>
      <c r="C9" s="129"/>
      <c r="D9" s="129"/>
      <c r="E9" s="129"/>
      <c r="F9" s="129"/>
      <c r="G9" s="141"/>
      <c r="H9" s="130"/>
      <c r="I9" s="1"/>
    </row>
    <row r="10" spans="1:9" x14ac:dyDescent="0.25">
      <c r="A10" s="1"/>
      <c r="B10" s="135" t="s">
        <v>40</v>
      </c>
      <c r="C10" s="136"/>
      <c r="D10" s="136"/>
      <c r="E10" s="136"/>
      <c r="F10" s="137"/>
      <c r="G10" s="57">
        <f>(G5-G6)*(1+'Fane 13. Nøgletal'!C9)</f>
        <v>7669004.6715127807</v>
      </c>
      <c r="H10" s="14" t="s">
        <v>3</v>
      </c>
      <c r="I10" s="1"/>
    </row>
    <row r="11" spans="1:9" x14ac:dyDescent="0.25">
      <c r="A11" s="1"/>
      <c r="B11" s="138" t="s">
        <v>41</v>
      </c>
      <c r="C11" s="139"/>
      <c r="D11" s="139"/>
      <c r="E11" s="139"/>
      <c r="F11" s="140"/>
      <c r="G11" s="57">
        <v>0</v>
      </c>
      <c r="H11" s="14" t="s">
        <v>3</v>
      </c>
      <c r="I11" s="1"/>
    </row>
    <row r="12" spans="1:9" x14ac:dyDescent="0.25">
      <c r="A12" s="1"/>
      <c r="B12" s="135" t="s">
        <v>42</v>
      </c>
      <c r="C12" s="136"/>
      <c r="D12" s="136"/>
      <c r="E12" s="136"/>
      <c r="F12" s="137"/>
      <c r="G12" s="57">
        <f>(G10+G11)*'Fane 13. Nøgletal'!C31</f>
        <v>153380.09343025563</v>
      </c>
      <c r="H12" s="14" t="s">
        <v>3</v>
      </c>
      <c r="I12" s="1"/>
    </row>
    <row r="13" spans="1:9" x14ac:dyDescent="0.25">
      <c r="A13" s="1"/>
      <c r="B13" s="66"/>
      <c r="C13" s="67"/>
      <c r="D13" s="67"/>
      <c r="E13" s="67"/>
      <c r="F13" s="67"/>
      <c r="G13" s="58"/>
      <c r="H13" s="19"/>
      <c r="I13" s="1"/>
    </row>
    <row r="14" spans="1:9" x14ac:dyDescent="0.25">
      <c r="A14" s="1"/>
      <c r="B14" s="1"/>
      <c r="C14" s="1"/>
      <c r="D14" s="1"/>
      <c r="E14" s="1"/>
      <c r="F14" s="1"/>
      <c r="G14" s="59"/>
      <c r="H14" s="1"/>
      <c r="I14" s="1"/>
    </row>
    <row r="15" spans="1:9" x14ac:dyDescent="0.25">
      <c r="A15" s="1"/>
      <c r="B15" s="128" t="s">
        <v>51</v>
      </c>
      <c r="C15" s="129"/>
      <c r="D15" s="129"/>
      <c r="E15" s="129"/>
      <c r="F15" s="129"/>
      <c r="G15" s="141"/>
      <c r="H15" s="130"/>
      <c r="I15" s="1"/>
    </row>
    <row r="16" spans="1:9" x14ac:dyDescent="0.25">
      <c r="A16" s="1"/>
      <c r="B16" s="135" t="s">
        <v>43</v>
      </c>
      <c r="C16" s="136"/>
      <c r="D16" s="136"/>
      <c r="E16" s="136"/>
      <c r="F16" s="137"/>
      <c r="G16" s="57">
        <f>(G10+G11-G12)*(1+'Fane 13. Nøgletal'!C11)</f>
        <v>7642638.6334521193</v>
      </c>
      <c r="H16" s="14" t="s">
        <v>3</v>
      </c>
      <c r="I16" s="1"/>
    </row>
    <row r="17" spans="1:9" x14ac:dyDescent="0.25">
      <c r="A17" s="1"/>
      <c r="B17" s="135" t="s">
        <v>108</v>
      </c>
      <c r="C17" s="136"/>
      <c r="D17" s="136"/>
      <c r="E17" s="136"/>
      <c r="F17" s="137"/>
      <c r="G17" s="57">
        <v>0</v>
      </c>
      <c r="H17" s="14" t="s">
        <v>3</v>
      </c>
      <c r="I17" s="1"/>
    </row>
    <row r="18" spans="1:9" x14ac:dyDescent="0.25">
      <c r="A18" s="1"/>
      <c r="B18" s="138" t="s">
        <v>44</v>
      </c>
      <c r="C18" s="139"/>
      <c r="D18" s="139"/>
      <c r="E18" s="139"/>
      <c r="F18" s="140"/>
      <c r="G18" s="57">
        <v>363325.97907349991</v>
      </c>
      <c r="H18" s="14" t="s">
        <v>3</v>
      </c>
      <c r="I18" s="1"/>
    </row>
    <row r="19" spans="1:9" x14ac:dyDescent="0.25">
      <c r="A19" s="1"/>
      <c r="B19" s="135" t="s">
        <v>45</v>
      </c>
      <c r="C19" s="136"/>
      <c r="D19" s="136"/>
      <c r="E19" s="136"/>
      <c r="F19" s="137"/>
      <c r="G19" s="57">
        <f>SUM(G16:G18)*'Fane 13. Nøgletal'!C31</f>
        <v>160119.2922505124</v>
      </c>
      <c r="H19" s="14" t="s">
        <v>3</v>
      </c>
      <c r="I19" s="1"/>
    </row>
    <row r="20" spans="1:9" x14ac:dyDescent="0.25">
      <c r="A20" s="1"/>
      <c r="B20" s="66"/>
      <c r="C20" s="67"/>
      <c r="D20" s="67"/>
      <c r="E20" s="67"/>
      <c r="F20" s="67"/>
      <c r="G20" s="58"/>
      <c r="H20" s="19"/>
      <c r="I20" s="1"/>
    </row>
    <row r="21" spans="1:9" x14ac:dyDescent="0.25">
      <c r="A21" s="1"/>
      <c r="B21" s="1"/>
      <c r="C21" s="1"/>
      <c r="D21" s="1"/>
      <c r="E21" s="1"/>
      <c r="F21" s="1"/>
      <c r="G21" s="59"/>
      <c r="H21" s="1"/>
      <c r="I21" s="1"/>
    </row>
    <row r="22" spans="1:9" x14ac:dyDescent="0.25">
      <c r="A22" s="1"/>
      <c r="B22" s="128" t="s">
        <v>52</v>
      </c>
      <c r="C22" s="129"/>
      <c r="D22" s="129"/>
      <c r="E22" s="129"/>
      <c r="F22" s="129"/>
      <c r="G22" s="141"/>
      <c r="H22" s="130"/>
      <c r="I22" s="1"/>
    </row>
    <row r="23" spans="1:9" x14ac:dyDescent="0.25">
      <c r="A23" s="1"/>
      <c r="B23" s="135" t="s">
        <v>46</v>
      </c>
      <c r="C23" s="136"/>
      <c r="D23" s="136"/>
      <c r="E23" s="136"/>
      <c r="F23" s="137"/>
      <c r="G23" s="57">
        <f>(SUM(G16:G18)-G19)*(1+'Fane 13. Nøgletal'!C11)</f>
        <v>7978440.1061877562</v>
      </c>
      <c r="H23" s="14" t="s">
        <v>3</v>
      </c>
      <c r="I23" s="1"/>
    </row>
    <row r="24" spans="1:9" x14ac:dyDescent="0.25">
      <c r="A24" s="1"/>
      <c r="B24" s="138" t="s">
        <v>47</v>
      </c>
      <c r="C24" s="139"/>
      <c r="D24" s="139"/>
      <c r="E24" s="139"/>
      <c r="F24" s="140"/>
      <c r="G24" s="57">
        <v>1103366.97255114</v>
      </c>
      <c r="H24" s="14" t="s">
        <v>3</v>
      </c>
      <c r="I24" s="1"/>
    </row>
    <row r="25" spans="1:9" x14ac:dyDescent="0.25">
      <c r="A25" s="1"/>
      <c r="B25" s="135" t="s">
        <v>48</v>
      </c>
      <c r="C25" s="136"/>
      <c r="D25" s="136"/>
      <c r="E25" s="136"/>
      <c r="F25" s="137"/>
      <c r="G25" s="57">
        <f>(G23+G24)*'Fane 13. Nøgletal'!C31</f>
        <v>181636.14157477792</v>
      </c>
      <c r="H25" s="14" t="s">
        <v>3</v>
      </c>
      <c r="I25" s="1"/>
    </row>
    <row r="26" spans="1:9" x14ac:dyDescent="0.25">
      <c r="A26" s="1"/>
      <c r="B26" s="66"/>
      <c r="C26" s="67"/>
      <c r="D26" s="67"/>
      <c r="E26" s="67"/>
      <c r="F26" s="67"/>
      <c r="G26" s="58"/>
      <c r="H26" s="19"/>
      <c r="I26" s="1"/>
    </row>
    <row r="27" spans="1:9" x14ac:dyDescent="0.25">
      <c r="A27" s="1"/>
      <c r="B27" s="1"/>
      <c r="C27" s="1"/>
      <c r="D27" s="1"/>
      <c r="E27" s="1"/>
      <c r="F27" s="1"/>
      <c r="G27" s="59"/>
      <c r="H27" s="1"/>
      <c r="I27" s="1"/>
    </row>
    <row r="28" spans="1:9" x14ac:dyDescent="0.25">
      <c r="A28" s="1"/>
      <c r="B28" s="128" t="s">
        <v>132</v>
      </c>
      <c r="C28" s="129"/>
      <c r="D28" s="129"/>
      <c r="E28" s="129"/>
      <c r="F28" s="129"/>
      <c r="G28" s="141"/>
      <c r="H28" s="130"/>
      <c r="I28" s="1"/>
    </row>
    <row r="29" spans="1:9" x14ac:dyDescent="0.25">
      <c r="A29" s="1"/>
      <c r="B29" s="135" t="s">
        <v>55</v>
      </c>
      <c r="C29" s="136"/>
      <c r="D29" s="136"/>
      <c r="E29" s="136"/>
      <c r="F29" s="137"/>
      <c r="G29" s="57">
        <f>(G23+G24-G25)*(1+'Fane 13. Nøgletal'!C13)</f>
        <v>9008753.0225975215</v>
      </c>
      <c r="H29" s="14" t="s">
        <v>3</v>
      </c>
      <c r="I29" s="1"/>
    </row>
    <row r="30" spans="1:9" x14ac:dyDescent="0.25">
      <c r="A30" s="1"/>
      <c r="B30" s="135" t="s">
        <v>121</v>
      </c>
      <c r="C30" s="136"/>
      <c r="D30" s="136"/>
      <c r="E30" s="136"/>
      <c r="F30" s="137"/>
      <c r="G30" s="57">
        <v>0</v>
      </c>
      <c r="H30" s="14" t="s">
        <v>3</v>
      </c>
      <c r="I30" s="1"/>
    </row>
    <row r="31" spans="1:9" x14ac:dyDescent="0.25">
      <c r="A31" s="1"/>
      <c r="B31" s="135" t="s">
        <v>126</v>
      </c>
      <c r="C31" s="136"/>
      <c r="D31" s="136"/>
      <c r="E31" s="136"/>
      <c r="F31" s="137"/>
      <c r="G31" s="57">
        <f>(G29+G30)*'Fane 13. Nøgletal'!C31</f>
        <v>180175.06045195044</v>
      </c>
      <c r="H31" s="14" t="s">
        <v>3</v>
      </c>
      <c r="I31" s="1"/>
    </row>
    <row r="32" spans="1:9" x14ac:dyDescent="0.25">
      <c r="A32" s="1"/>
      <c r="B32" s="66"/>
      <c r="C32" s="67"/>
      <c r="D32" s="67"/>
      <c r="E32" s="67"/>
      <c r="F32" s="67"/>
      <c r="G32" s="58"/>
      <c r="H32" s="19"/>
      <c r="I32" s="1"/>
    </row>
    <row r="33" spans="1:9" x14ac:dyDescent="0.25">
      <c r="A33" s="1"/>
      <c r="B33" s="1"/>
      <c r="C33" s="1"/>
      <c r="D33" s="1"/>
      <c r="E33" s="1"/>
      <c r="F33" s="1"/>
      <c r="G33" s="59"/>
      <c r="H33" s="1"/>
      <c r="I33" s="1"/>
    </row>
    <row r="34" spans="1:9" x14ac:dyDescent="0.25">
      <c r="A34" s="1"/>
      <c r="B34" s="128" t="s">
        <v>133</v>
      </c>
      <c r="C34" s="129"/>
      <c r="D34" s="129"/>
      <c r="E34" s="129"/>
      <c r="F34" s="129"/>
      <c r="G34" s="141"/>
      <c r="H34" s="130"/>
      <c r="I34" s="1"/>
    </row>
    <row r="35" spans="1:9" x14ac:dyDescent="0.25">
      <c r="A35" s="1"/>
      <c r="B35" s="135" t="s">
        <v>74</v>
      </c>
      <c r="C35" s="136"/>
      <c r="D35" s="136"/>
      <c r="E35" s="136"/>
      <c r="F35" s="137"/>
      <c r="G35" s="57">
        <f>(G29+G30-G31)*(1+'Fane 13. Nøgletal'!C13)</f>
        <v>8936286.6132837459</v>
      </c>
      <c r="H35" s="14" t="s">
        <v>3</v>
      </c>
      <c r="I35" s="1"/>
    </row>
    <row r="36" spans="1:9" x14ac:dyDescent="0.25">
      <c r="A36" s="1"/>
      <c r="B36" s="135" t="s">
        <v>152</v>
      </c>
      <c r="C36" s="136"/>
      <c r="D36" s="136"/>
      <c r="E36" s="136"/>
      <c r="F36" s="137"/>
      <c r="G36" s="57">
        <f>('Fane 3. Omkostninger i ØR2022'!E10+'Fane 3. Omkostninger i ØR2022'!E12+'Fane 3. Omkostninger i ØR2022'!E14)*(1+'Fane 13. Nøgletal'!C14)</f>
        <v>0</v>
      </c>
      <c r="H36" s="14" t="s">
        <v>3</v>
      </c>
      <c r="I36" s="1"/>
    </row>
    <row r="37" spans="1:9" x14ac:dyDescent="0.25">
      <c r="A37" s="1"/>
      <c r="B37" s="135" t="s">
        <v>134</v>
      </c>
      <c r="C37" s="136"/>
      <c r="D37" s="136"/>
      <c r="E37" s="136"/>
      <c r="F37" s="137"/>
      <c r="G37" s="57">
        <f>(G35+G36)*'Fane 13. Nøgletal'!C31</f>
        <v>178725.73226567492</v>
      </c>
      <c r="H37" s="14" t="s">
        <v>3</v>
      </c>
      <c r="I37" s="1"/>
    </row>
    <row r="38" spans="1:9" x14ac:dyDescent="0.25">
      <c r="A38" s="1"/>
      <c r="B38" s="66"/>
      <c r="C38" s="67"/>
      <c r="D38" s="67"/>
      <c r="E38" s="67"/>
      <c r="F38" s="67"/>
      <c r="G38" s="58"/>
      <c r="H38" s="19"/>
      <c r="I38" s="1"/>
    </row>
    <row r="39" spans="1:9" x14ac:dyDescent="0.25">
      <c r="A39" s="1"/>
      <c r="B39" s="1"/>
      <c r="C39" s="1"/>
      <c r="D39" s="1"/>
      <c r="E39" s="1"/>
      <c r="F39" s="1"/>
      <c r="G39" s="59"/>
      <c r="H39" s="1"/>
      <c r="I39" s="1"/>
    </row>
    <row r="40" spans="1:9" x14ac:dyDescent="0.25">
      <c r="A40" s="1"/>
      <c r="B40" s="128" t="s">
        <v>198</v>
      </c>
      <c r="C40" s="129"/>
      <c r="D40" s="129"/>
      <c r="E40" s="129"/>
      <c r="F40" s="129"/>
      <c r="G40" s="141"/>
      <c r="H40" s="130"/>
      <c r="I40" s="1"/>
    </row>
    <row r="41" spans="1:9" x14ac:dyDescent="0.25">
      <c r="A41" s="1"/>
      <c r="B41" s="135" t="s">
        <v>73</v>
      </c>
      <c r="C41" s="136"/>
      <c r="D41" s="136"/>
      <c r="E41" s="136"/>
      <c r="F41" s="137"/>
      <c r="G41" s="57">
        <f>(G35+G36-G37)*(1+'Fane 13. Nøgletal'!C15)</f>
        <v>9069330.0483823139</v>
      </c>
      <c r="H41" s="14" t="s">
        <v>3</v>
      </c>
      <c r="I41" s="1"/>
    </row>
    <row r="42" spans="1:9" x14ac:dyDescent="0.25">
      <c r="A42" s="1"/>
      <c r="B42" s="135" t="s">
        <v>197</v>
      </c>
      <c r="C42" s="136"/>
      <c r="D42" s="136"/>
      <c r="E42" s="136"/>
      <c r="F42" s="137"/>
      <c r="G42" s="57">
        <f>('Fane 2.1. Økonomisk ramme 2023'!C9+'Fane 2.1. Økonomisk ramme 2023'!C11+'Fane 2.1. Økonomisk ramme 2023'!C13)*(1+'Fane 13. Nøgletal'!C15)</f>
        <v>38650.651187040006</v>
      </c>
      <c r="H42" s="14" t="s">
        <v>3</v>
      </c>
      <c r="I42" s="1"/>
    </row>
    <row r="43" spans="1:9" x14ac:dyDescent="0.25">
      <c r="A43" s="1"/>
      <c r="B43" s="135" t="s">
        <v>208</v>
      </c>
      <c r="C43" s="136"/>
      <c r="D43" s="136"/>
      <c r="E43" s="136"/>
      <c r="F43" s="137"/>
      <c r="G43" s="57">
        <f>(G41+G42)*'Fane 13. Nøgletal'!C31</f>
        <v>182159.61399138707</v>
      </c>
      <c r="H43" s="14" t="s">
        <v>3</v>
      </c>
      <c r="I43" s="1"/>
    </row>
    <row r="44" spans="1:9" x14ac:dyDescent="0.25">
      <c r="A44" s="1"/>
      <c r="B44" s="66"/>
      <c r="C44" s="67"/>
      <c r="D44" s="67"/>
      <c r="E44" s="67"/>
      <c r="F44" s="67"/>
      <c r="G44" s="58"/>
      <c r="H44" s="19"/>
      <c r="I44" s="1"/>
    </row>
    <row r="45" spans="1:9" x14ac:dyDescent="0.25">
      <c r="A45" s="1"/>
      <c r="B45" s="1"/>
      <c r="C45" s="1"/>
      <c r="D45" s="1"/>
      <c r="E45" s="1"/>
      <c r="F45" s="1"/>
      <c r="G45" s="59"/>
      <c r="H45" s="1"/>
      <c r="I45" s="1"/>
    </row>
    <row r="46" spans="1:9" x14ac:dyDescent="0.25">
      <c r="A46" s="1"/>
      <c r="B46" s="128" t="s">
        <v>199</v>
      </c>
      <c r="C46" s="129"/>
      <c r="D46" s="129"/>
      <c r="E46" s="129"/>
      <c r="F46" s="129"/>
      <c r="G46" s="141"/>
      <c r="H46" s="130"/>
      <c r="I46" s="1"/>
    </row>
    <row r="47" spans="1:9" x14ac:dyDescent="0.25">
      <c r="A47" s="1"/>
      <c r="B47" s="135" t="s">
        <v>122</v>
      </c>
      <c r="C47" s="136"/>
      <c r="D47" s="136"/>
      <c r="E47" s="136"/>
      <c r="F47" s="137"/>
      <c r="G47" s="57">
        <f>(G41+G42-G43)*(1+'Fane 13. Nøgletal'!C15)</f>
        <v>9243580.3162245434</v>
      </c>
      <c r="H47" s="14" t="s">
        <v>3</v>
      </c>
      <c r="I47" s="1"/>
    </row>
    <row r="48" spans="1:9" x14ac:dyDescent="0.25">
      <c r="A48" s="1"/>
      <c r="B48" s="135" t="s">
        <v>209</v>
      </c>
      <c r="C48" s="136"/>
      <c r="D48" s="136"/>
      <c r="E48" s="136"/>
      <c r="F48" s="137"/>
      <c r="G48" s="57">
        <f>(G47)*'Fane 13. Nøgletal'!C31</f>
        <v>184871.60632449086</v>
      </c>
      <c r="H48" s="14" t="s">
        <v>3</v>
      </c>
      <c r="I48" s="1"/>
    </row>
    <row r="49" spans="1:9" x14ac:dyDescent="0.25">
      <c r="A49" s="1"/>
      <c r="B49" s="66"/>
      <c r="C49" s="67"/>
      <c r="D49" s="67"/>
      <c r="E49" s="67"/>
      <c r="F49" s="67"/>
      <c r="G49" s="58"/>
      <c r="H49" s="19"/>
      <c r="I49" s="1"/>
    </row>
    <row r="50" spans="1:9" x14ac:dyDescent="0.25">
      <c r="A50" s="1"/>
      <c r="B50" s="1"/>
      <c r="C50" s="1"/>
      <c r="D50" s="1"/>
      <c r="E50" s="1"/>
      <c r="F50" s="1"/>
      <c r="G50" s="59"/>
      <c r="H50" s="1"/>
      <c r="I50" s="1"/>
    </row>
    <row r="51" spans="1:9" x14ac:dyDescent="0.25">
      <c r="A51" s="1"/>
      <c r="B51" s="128" t="s">
        <v>145</v>
      </c>
      <c r="C51" s="129"/>
      <c r="D51" s="129"/>
      <c r="E51" s="129"/>
      <c r="F51" s="129"/>
      <c r="G51" s="141"/>
      <c r="H51" s="130"/>
      <c r="I51" s="1"/>
    </row>
    <row r="52" spans="1:9" x14ac:dyDescent="0.25">
      <c r="A52" s="1"/>
      <c r="B52" s="135" t="s">
        <v>146</v>
      </c>
      <c r="C52" s="136"/>
      <c r="D52" s="136"/>
      <c r="E52" s="136"/>
      <c r="F52" s="137"/>
      <c r="G52" s="57">
        <f>(G47-G48)*(1+'Fane 13. Nøgletal'!C15)</f>
        <v>9381198.7399724964</v>
      </c>
      <c r="H52" s="14" t="s">
        <v>3</v>
      </c>
      <c r="I52" s="1"/>
    </row>
    <row r="53" spans="1:9" x14ac:dyDescent="0.25">
      <c r="A53" s="1"/>
      <c r="B53" s="135" t="s">
        <v>147</v>
      </c>
      <c r="C53" s="136"/>
      <c r="D53" s="136"/>
      <c r="E53" s="136"/>
      <c r="F53" s="137"/>
      <c r="G53" s="57">
        <f>(G52)*'Fane 13. Nøgletal'!C31</f>
        <v>187623.97479944993</v>
      </c>
      <c r="H53" s="14" t="s">
        <v>3</v>
      </c>
      <c r="I53" s="1"/>
    </row>
    <row r="54" spans="1:9" x14ac:dyDescent="0.25">
      <c r="A54" s="1"/>
      <c r="B54" s="66"/>
      <c r="C54" s="67"/>
      <c r="D54" s="67"/>
      <c r="E54" s="67"/>
      <c r="F54" s="67"/>
      <c r="G54" s="58"/>
      <c r="H54" s="19"/>
      <c r="I54" s="1"/>
    </row>
    <row r="55" spans="1:9" x14ac:dyDescent="0.25">
      <c r="A55" s="1"/>
      <c r="B55" s="1"/>
      <c r="C55" s="1"/>
      <c r="D55" s="1"/>
      <c r="E55" s="1"/>
      <c r="F55" s="1"/>
      <c r="G55" s="59"/>
      <c r="H55" s="1"/>
      <c r="I55" s="1"/>
    </row>
    <row r="56" spans="1:9" x14ac:dyDescent="0.25">
      <c r="A56" s="1"/>
      <c r="B56" s="128" t="s">
        <v>174</v>
      </c>
      <c r="C56" s="129"/>
      <c r="D56" s="129"/>
      <c r="E56" s="129"/>
      <c r="F56" s="129"/>
      <c r="G56" s="141"/>
      <c r="H56" s="130"/>
      <c r="I56" s="1"/>
    </row>
    <row r="57" spans="1:9" x14ac:dyDescent="0.25">
      <c r="A57" s="1"/>
      <c r="B57" s="135" t="s">
        <v>175</v>
      </c>
      <c r="C57" s="136"/>
      <c r="D57" s="136"/>
      <c r="E57" s="136"/>
      <c r="F57" s="137"/>
      <c r="G57" s="57">
        <f>(G52-G53)*(1+'Fane 13. Nøgletal'!C15)</f>
        <v>9520866.0268132072</v>
      </c>
      <c r="H57" s="14" t="s">
        <v>3</v>
      </c>
      <c r="I57" s="1"/>
    </row>
    <row r="58" spans="1:9" x14ac:dyDescent="0.25">
      <c r="A58" s="1"/>
      <c r="B58" s="135" t="s">
        <v>176</v>
      </c>
      <c r="C58" s="136"/>
      <c r="D58" s="136"/>
      <c r="E58" s="136"/>
      <c r="F58" s="137"/>
      <c r="G58" s="57">
        <f>(G57)*'Fane 13. Nøgletal'!C31</f>
        <v>190417.32053626416</v>
      </c>
      <c r="H58" s="14" t="s">
        <v>3</v>
      </c>
      <c r="I58" s="1"/>
    </row>
    <row r="59" spans="1:9" x14ac:dyDescent="0.25">
      <c r="A59" s="1"/>
      <c r="B59" s="66"/>
      <c r="C59" s="67"/>
      <c r="D59" s="67"/>
      <c r="E59" s="67"/>
      <c r="F59" s="67"/>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10.140625" style="2" customWidth="1"/>
    <col min="9" max="9" width="6" style="2" customWidth="1"/>
    <col min="10" max="16384" width="9" style="2"/>
  </cols>
  <sheetData>
    <row r="1" spans="1:9" x14ac:dyDescent="0.25">
      <c r="A1" s="1"/>
      <c r="B1" s="142" t="s">
        <v>99</v>
      </c>
      <c r="C1" s="143"/>
      <c r="D1" s="143"/>
      <c r="E1" s="143"/>
      <c r="F1" s="143"/>
      <c r="G1" s="143"/>
      <c r="H1" s="143"/>
      <c r="I1" s="1"/>
    </row>
    <row r="2" spans="1:9" ht="19.899999999999999"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8" t="s">
        <v>53</v>
      </c>
      <c r="C4" s="129"/>
      <c r="D4" s="129"/>
      <c r="E4" s="129"/>
      <c r="F4" s="129"/>
      <c r="G4" s="129"/>
      <c r="H4" s="130"/>
      <c r="I4" s="1"/>
    </row>
    <row r="5" spans="1:9" x14ac:dyDescent="0.25">
      <c r="A5" s="1"/>
      <c r="B5" s="135" t="s">
        <v>56</v>
      </c>
      <c r="C5" s="136"/>
      <c r="D5" s="136"/>
      <c r="E5" s="136"/>
      <c r="F5" s="137"/>
      <c r="G5" s="57">
        <v>9366911.7696834467</v>
      </c>
      <c r="H5" s="14" t="s">
        <v>3</v>
      </c>
      <c r="I5" s="1"/>
    </row>
    <row r="6" spans="1:9" x14ac:dyDescent="0.25">
      <c r="A6" s="1"/>
      <c r="B6" s="135" t="s">
        <v>54</v>
      </c>
      <c r="C6" s="136"/>
      <c r="D6" s="136"/>
      <c r="E6" s="136"/>
      <c r="F6" s="137"/>
      <c r="G6" s="57">
        <f>G5*'Fane 13. Nøgletal'!C20</f>
        <v>85238.897104119373</v>
      </c>
      <c r="H6" s="14" t="s">
        <v>3</v>
      </c>
      <c r="I6" s="1"/>
    </row>
    <row r="7" spans="1:9" x14ac:dyDescent="0.25">
      <c r="A7" s="1"/>
      <c r="B7" s="66"/>
      <c r="C7" s="67"/>
      <c r="D7" s="67"/>
      <c r="E7" s="67"/>
      <c r="F7" s="67"/>
      <c r="G7" s="60"/>
      <c r="H7" s="19"/>
      <c r="I7" s="1"/>
    </row>
    <row r="8" spans="1:9" x14ac:dyDescent="0.25">
      <c r="A8" s="1"/>
      <c r="B8" s="1"/>
      <c r="C8" s="1"/>
      <c r="D8" s="1"/>
      <c r="E8" s="1"/>
      <c r="F8" s="1"/>
      <c r="G8" s="61"/>
      <c r="H8" s="1"/>
      <c r="I8" s="1"/>
    </row>
    <row r="9" spans="1:9" x14ac:dyDescent="0.25">
      <c r="A9" s="1"/>
      <c r="B9" s="128" t="s">
        <v>57</v>
      </c>
      <c r="C9" s="129"/>
      <c r="D9" s="129"/>
      <c r="E9" s="129"/>
      <c r="F9" s="129"/>
      <c r="G9" s="141"/>
      <c r="H9" s="130"/>
      <c r="I9" s="1"/>
    </row>
    <row r="10" spans="1:9" x14ac:dyDescent="0.25">
      <c r="A10" s="1"/>
      <c r="B10" s="135" t="s">
        <v>58</v>
      </c>
      <c r="C10" s="136"/>
      <c r="D10" s="136"/>
      <c r="E10" s="136"/>
      <c r="F10" s="137"/>
      <c r="G10" s="57">
        <f>(G5-G6)*(1+'Fane 13. Nøgletal'!C9)</f>
        <v>9399550.1180610843</v>
      </c>
      <c r="H10" s="14" t="s">
        <v>3</v>
      </c>
      <c r="I10" s="1"/>
    </row>
    <row r="11" spans="1:9" x14ac:dyDescent="0.25">
      <c r="A11" s="1"/>
      <c r="B11" s="138" t="s">
        <v>59</v>
      </c>
      <c r="C11" s="139"/>
      <c r="D11" s="139"/>
      <c r="E11" s="139"/>
      <c r="F11" s="140"/>
      <c r="G11" s="62">
        <v>0</v>
      </c>
      <c r="H11" s="14" t="s">
        <v>3</v>
      </c>
      <c r="I11" s="1"/>
    </row>
    <row r="12" spans="1:9" x14ac:dyDescent="0.25">
      <c r="A12" s="1"/>
      <c r="B12" s="135" t="s">
        <v>60</v>
      </c>
      <c r="C12" s="136"/>
      <c r="D12" s="136"/>
      <c r="E12" s="136"/>
      <c r="F12" s="137"/>
      <c r="G12" s="57">
        <f>G10*'Fane 13. Nøgletal'!C20+G11*'Fane 13. Nøgletal'!C21</f>
        <v>85535.906074355866</v>
      </c>
      <c r="H12" s="14" t="s">
        <v>3</v>
      </c>
      <c r="I12" s="1"/>
    </row>
    <row r="13" spans="1:9" x14ac:dyDescent="0.25">
      <c r="A13" s="1"/>
      <c r="B13" s="66"/>
      <c r="C13" s="67"/>
      <c r="D13" s="67"/>
      <c r="E13" s="67"/>
      <c r="F13" s="67"/>
      <c r="G13" s="60"/>
      <c r="H13" s="19"/>
      <c r="I13" s="1"/>
    </row>
    <row r="14" spans="1:9" x14ac:dyDescent="0.25">
      <c r="A14" s="1"/>
      <c r="B14" s="1"/>
      <c r="C14" s="1"/>
      <c r="D14" s="1"/>
      <c r="E14" s="1"/>
      <c r="F14" s="1"/>
      <c r="G14" s="61"/>
      <c r="H14" s="1"/>
      <c r="I14" s="1"/>
    </row>
    <row r="15" spans="1:9" x14ac:dyDescent="0.25">
      <c r="A15" s="1"/>
      <c r="B15" s="128" t="s">
        <v>61</v>
      </c>
      <c r="C15" s="129"/>
      <c r="D15" s="129"/>
      <c r="E15" s="129"/>
      <c r="F15" s="129"/>
      <c r="G15" s="141"/>
      <c r="H15" s="130"/>
      <c r="I15" s="1"/>
    </row>
    <row r="16" spans="1:9" x14ac:dyDescent="0.25">
      <c r="A16" s="1"/>
      <c r="B16" s="135" t="s">
        <v>62</v>
      </c>
      <c r="C16" s="136"/>
      <c r="D16" s="136"/>
      <c r="E16" s="136"/>
      <c r="F16" s="137"/>
      <c r="G16" s="57">
        <f>(G10+G11-G12)*(1+'Fane 13. Nøgletal'!C11)</f>
        <v>9471421.0521693025</v>
      </c>
      <c r="H16" s="14" t="s">
        <v>3</v>
      </c>
      <c r="I16" s="1"/>
    </row>
    <row r="17" spans="1:9" x14ac:dyDescent="0.25">
      <c r="A17" s="1"/>
      <c r="B17" s="135" t="s">
        <v>109</v>
      </c>
      <c r="C17" s="136"/>
      <c r="D17" s="136"/>
      <c r="E17" s="136"/>
      <c r="F17" s="137"/>
      <c r="G17" s="57">
        <v>14259.843374698376</v>
      </c>
      <c r="H17" s="14" t="s">
        <v>3</v>
      </c>
      <c r="I17" s="1"/>
    </row>
    <row r="18" spans="1:9" x14ac:dyDescent="0.25">
      <c r="A18" s="1"/>
      <c r="B18" s="138" t="s">
        <v>63</v>
      </c>
      <c r="C18" s="139"/>
      <c r="D18" s="139"/>
      <c r="E18" s="139"/>
      <c r="F18" s="140"/>
      <c r="G18" s="57">
        <v>437315.83855460992</v>
      </c>
      <c r="H18" s="14" t="s">
        <v>3</v>
      </c>
      <c r="I18" s="1"/>
    </row>
    <row r="19" spans="1:9" x14ac:dyDescent="0.25">
      <c r="A19" s="1"/>
      <c r="B19" s="135" t="s">
        <v>64</v>
      </c>
      <c r="C19" s="136"/>
      <c r="D19" s="136"/>
      <c r="E19" s="136"/>
      <c r="F19" s="137"/>
      <c r="G19" s="57">
        <f>(G16+G17+G18)*'Fane 13. Nøgletal'!C22</f>
        <v>86330.071586657898</v>
      </c>
      <c r="H19" s="14" t="s">
        <v>3</v>
      </c>
      <c r="I19" s="1"/>
    </row>
    <row r="20" spans="1:9" x14ac:dyDescent="0.25">
      <c r="A20" s="1"/>
      <c r="B20" s="66"/>
      <c r="C20" s="67"/>
      <c r="D20" s="67"/>
      <c r="E20" s="67"/>
      <c r="F20" s="67"/>
      <c r="G20" s="60"/>
      <c r="H20" s="19"/>
      <c r="I20" s="1"/>
    </row>
    <row r="21" spans="1:9" x14ac:dyDescent="0.25">
      <c r="A21" s="1"/>
      <c r="B21" s="1"/>
      <c r="C21" s="1"/>
      <c r="D21" s="1"/>
      <c r="E21" s="1"/>
      <c r="F21" s="1"/>
      <c r="G21" s="61"/>
      <c r="H21" s="1"/>
      <c r="I21" s="1"/>
    </row>
    <row r="22" spans="1:9" x14ac:dyDescent="0.25">
      <c r="A22" s="1"/>
      <c r="B22" s="128" t="s">
        <v>65</v>
      </c>
      <c r="C22" s="129"/>
      <c r="D22" s="129"/>
      <c r="E22" s="129"/>
      <c r="F22" s="129"/>
      <c r="G22" s="141"/>
      <c r="H22" s="130"/>
      <c r="I22" s="1"/>
    </row>
    <row r="23" spans="1:9" x14ac:dyDescent="0.25">
      <c r="A23" s="1"/>
      <c r="B23" s="135" t="s">
        <v>66</v>
      </c>
      <c r="C23" s="136"/>
      <c r="D23" s="136"/>
      <c r="E23" s="136"/>
      <c r="F23" s="137"/>
      <c r="G23" s="57">
        <f>(SUM(G16:G18)-G19)*(1+'Fane 13. Nøgletal'!C11)</f>
        <v>10002906.329108404</v>
      </c>
      <c r="H23" s="14" t="s">
        <v>3</v>
      </c>
      <c r="I23" s="1"/>
    </row>
    <row r="24" spans="1:9" x14ac:dyDescent="0.25">
      <c r="A24" s="1"/>
      <c r="B24" s="138" t="s">
        <v>67</v>
      </c>
      <c r="C24" s="139"/>
      <c r="D24" s="139"/>
      <c r="E24" s="139"/>
      <c r="F24" s="140"/>
      <c r="G24" s="57">
        <v>1253165.08352508</v>
      </c>
      <c r="H24" s="14" t="s">
        <v>3</v>
      </c>
      <c r="I24" s="1"/>
    </row>
    <row r="25" spans="1:9" x14ac:dyDescent="0.25">
      <c r="A25" s="1"/>
      <c r="B25" s="135" t="s">
        <v>68</v>
      </c>
      <c r="C25" s="136"/>
      <c r="D25" s="136"/>
      <c r="E25" s="136"/>
      <c r="F25" s="137"/>
      <c r="G25" s="57">
        <f>G23*'Fane 13. Nøgletal'!C22+G24*'Fane 13. Nøgletal'!C23</f>
        <v>122615.17343535538</v>
      </c>
      <c r="H25" s="14" t="s">
        <v>3</v>
      </c>
      <c r="I25" s="1"/>
    </row>
    <row r="26" spans="1:9" x14ac:dyDescent="0.25">
      <c r="A26" s="1"/>
      <c r="B26" s="66"/>
      <c r="C26" s="67"/>
      <c r="D26" s="67"/>
      <c r="E26" s="67"/>
      <c r="F26" s="67"/>
      <c r="G26" s="60"/>
      <c r="H26" s="19"/>
      <c r="I26" s="1"/>
    </row>
    <row r="27" spans="1:9" x14ac:dyDescent="0.25">
      <c r="A27" s="1"/>
      <c r="B27" s="1"/>
      <c r="C27" s="1"/>
      <c r="D27" s="1"/>
      <c r="E27" s="1"/>
      <c r="F27" s="1"/>
      <c r="G27" s="61"/>
      <c r="H27" s="1"/>
      <c r="I27" s="1"/>
    </row>
    <row r="28" spans="1:9" x14ac:dyDescent="0.25">
      <c r="A28" s="1"/>
      <c r="B28" s="128" t="s">
        <v>130</v>
      </c>
      <c r="C28" s="129"/>
      <c r="D28" s="129"/>
      <c r="E28" s="129"/>
      <c r="F28" s="129"/>
      <c r="G28" s="141"/>
      <c r="H28" s="130"/>
      <c r="I28" s="1"/>
    </row>
    <row r="29" spans="1:9" x14ac:dyDescent="0.25">
      <c r="A29" s="1"/>
      <c r="B29" s="135" t="s">
        <v>69</v>
      </c>
      <c r="C29" s="136"/>
      <c r="D29" s="136"/>
      <c r="E29" s="136"/>
      <c r="F29" s="137"/>
      <c r="G29" s="57">
        <f>(G23+G24-G25)*(1+'Fane 13. Nøgletal'!C13)</f>
        <v>11269284.405316347</v>
      </c>
      <c r="H29" s="14" t="s">
        <v>3</v>
      </c>
      <c r="I29" s="1"/>
    </row>
    <row r="30" spans="1:9" x14ac:dyDescent="0.25">
      <c r="A30" s="1"/>
      <c r="B30" s="135" t="s">
        <v>123</v>
      </c>
      <c r="C30" s="136"/>
      <c r="D30" s="136"/>
      <c r="E30" s="136"/>
      <c r="F30" s="137"/>
      <c r="G30" s="57">
        <v>105298.007031</v>
      </c>
      <c r="H30" s="14" t="s">
        <v>3</v>
      </c>
      <c r="I30" s="1"/>
    </row>
    <row r="31" spans="1:9" x14ac:dyDescent="0.25">
      <c r="A31" s="1"/>
      <c r="B31" s="135" t="s">
        <v>131</v>
      </c>
      <c r="C31" s="136"/>
      <c r="D31" s="136"/>
      <c r="E31" s="136"/>
      <c r="F31" s="137"/>
      <c r="G31" s="57">
        <f>(G29+G30)*'Fane 13. Nøgletal'!C24</f>
        <v>312801.01633955201</v>
      </c>
      <c r="H31" s="14" t="s">
        <v>3</v>
      </c>
      <c r="I31" s="1"/>
    </row>
    <row r="32" spans="1:9" x14ac:dyDescent="0.25">
      <c r="A32" s="1"/>
      <c r="B32" s="66"/>
      <c r="C32" s="67"/>
      <c r="D32" s="67"/>
      <c r="E32" s="67"/>
      <c r="F32" s="67"/>
      <c r="G32" s="60"/>
      <c r="H32" s="19"/>
      <c r="I32" s="1"/>
    </row>
    <row r="33" spans="1:9" x14ac:dyDescent="0.25">
      <c r="A33" s="1"/>
      <c r="B33" s="1"/>
      <c r="C33" s="1"/>
      <c r="D33" s="1"/>
      <c r="E33" s="1"/>
      <c r="F33" s="1"/>
      <c r="G33" s="61"/>
      <c r="H33" s="1"/>
      <c r="I33" s="1"/>
    </row>
    <row r="34" spans="1:9" x14ac:dyDescent="0.25">
      <c r="A34" s="1"/>
      <c r="B34" s="128" t="s">
        <v>135</v>
      </c>
      <c r="C34" s="129"/>
      <c r="D34" s="129"/>
      <c r="E34" s="129"/>
      <c r="F34" s="129"/>
      <c r="G34" s="141"/>
      <c r="H34" s="130"/>
      <c r="I34" s="1"/>
    </row>
    <row r="35" spans="1:9" x14ac:dyDescent="0.25">
      <c r="A35" s="1"/>
      <c r="B35" s="135" t="s">
        <v>72</v>
      </c>
      <c r="C35" s="136"/>
      <c r="D35" s="136"/>
      <c r="E35" s="136"/>
      <c r="F35" s="137"/>
      <c r="G35" s="57">
        <f>(G29+G30-G31)*(1+'Fane 13. Nøgletal'!C13)</f>
        <v>11196735.12903909</v>
      </c>
      <c r="H35" s="14" t="s">
        <v>3</v>
      </c>
      <c r="I35" s="1"/>
    </row>
    <row r="36" spans="1:9" x14ac:dyDescent="0.25">
      <c r="A36" s="1"/>
      <c r="B36" s="135" t="s">
        <v>141</v>
      </c>
      <c r="C36" s="136"/>
      <c r="D36" s="136"/>
      <c r="E36" s="136"/>
      <c r="F36" s="137"/>
      <c r="G36" s="57">
        <f>SUM('Fane 3. Omkostninger i ØR2022'!E11)*(1+'Fane 13. Nøgletal'!C14)</f>
        <v>1262158.1900334102</v>
      </c>
      <c r="H36" s="14" t="s">
        <v>3</v>
      </c>
      <c r="I36" s="1"/>
    </row>
    <row r="37" spans="1:9" x14ac:dyDescent="0.25">
      <c r="A37" s="1"/>
      <c r="B37" s="135" t="s">
        <v>136</v>
      </c>
      <c r="C37" s="136"/>
      <c r="D37" s="136"/>
      <c r="E37" s="136"/>
      <c r="F37" s="137"/>
      <c r="G37" s="57">
        <f>G35*'Fane 13. Nøgletal'!C24+G36*'Fane 13. Nøgletal'!C25</f>
        <v>326590.15726106946</v>
      </c>
      <c r="H37" s="14" t="s">
        <v>3</v>
      </c>
      <c r="I37" s="1"/>
    </row>
    <row r="38" spans="1:9" x14ac:dyDescent="0.25">
      <c r="A38" s="1"/>
      <c r="B38" s="66"/>
      <c r="C38" s="67"/>
      <c r="D38" s="67"/>
      <c r="E38" s="67"/>
      <c r="F38" s="67"/>
      <c r="G38" s="60"/>
      <c r="H38" s="19"/>
      <c r="I38" s="1"/>
    </row>
    <row r="39" spans="1:9" x14ac:dyDescent="0.25">
      <c r="A39" s="1"/>
      <c r="B39" s="1"/>
      <c r="C39" s="1"/>
      <c r="D39" s="1"/>
      <c r="E39" s="1"/>
      <c r="F39" s="1"/>
      <c r="G39" s="61"/>
      <c r="H39" s="1"/>
      <c r="I39" s="1"/>
    </row>
    <row r="40" spans="1:9" x14ac:dyDescent="0.25">
      <c r="A40" s="1"/>
      <c r="B40" s="128" t="s">
        <v>200</v>
      </c>
      <c r="C40" s="129"/>
      <c r="D40" s="129"/>
      <c r="E40" s="129"/>
      <c r="F40" s="129"/>
      <c r="G40" s="141"/>
      <c r="H40" s="130"/>
      <c r="I40" s="1"/>
    </row>
    <row r="41" spans="1:9" x14ac:dyDescent="0.25">
      <c r="A41" s="1"/>
      <c r="B41" s="135" t="s">
        <v>71</v>
      </c>
      <c r="C41" s="136"/>
      <c r="D41" s="136"/>
      <c r="E41" s="136"/>
      <c r="F41" s="137"/>
      <c r="G41" s="57">
        <f>(G35+G36-G37)*(1+'Fane 13. Nøgletal'!C15)</f>
        <v>12564213.154371917</v>
      </c>
      <c r="H41" s="14" t="s">
        <v>3</v>
      </c>
      <c r="I41" s="1"/>
    </row>
    <row r="42" spans="1:9" x14ac:dyDescent="0.25">
      <c r="A42" s="1"/>
      <c r="B42" s="135" t="s">
        <v>211</v>
      </c>
      <c r="C42" s="136"/>
      <c r="D42" s="136"/>
      <c r="E42" s="136"/>
      <c r="F42" s="137"/>
      <c r="G42" s="62">
        <f>SUM('Fane 2.1. Økonomisk ramme 2023'!C10+'Fane 2.1. Økonomisk ramme 2023'!C12+'Fane 2.1. Økonomisk ramme 2023'!C14)*(1+'Fane 13. Nøgletal'!C15)</f>
        <v>1930210.6675176003</v>
      </c>
      <c r="H42" s="14" t="s">
        <v>3</v>
      </c>
      <c r="I42" s="1"/>
    </row>
    <row r="43" spans="1:9" x14ac:dyDescent="0.25">
      <c r="A43" s="1"/>
      <c r="B43" s="135" t="s">
        <v>70</v>
      </c>
      <c r="C43" s="136"/>
      <c r="D43" s="136"/>
      <c r="E43" s="136"/>
      <c r="F43" s="137"/>
      <c r="G43" s="57">
        <f>(G41+G42)*'Fane 13. Nøgletal'!C26</f>
        <v>0</v>
      </c>
      <c r="H43" s="14" t="s">
        <v>3</v>
      </c>
      <c r="I43" s="1"/>
    </row>
    <row r="44" spans="1:9" x14ac:dyDescent="0.25">
      <c r="A44" s="1"/>
      <c r="B44" s="66"/>
      <c r="C44" s="67"/>
      <c r="D44" s="67"/>
      <c r="E44" s="67"/>
      <c r="F44" s="67"/>
      <c r="G44" s="60"/>
      <c r="H44" s="19"/>
      <c r="I44" s="1"/>
    </row>
    <row r="45" spans="1:9" ht="12" customHeight="1" x14ac:dyDescent="0.25">
      <c r="A45" s="1"/>
      <c r="B45" s="1"/>
      <c r="C45" s="1"/>
      <c r="D45" s="1"/>
      <c r="E45" s="1"/>
      <c r="F45" s="1"/>
      <c r="G45" s="61"/>
      <c r="H45" s="1"/>
      <c r="I45" s="1"/>
    </row>
    <row r="46" spans="1:9" x14ac:dyDescent="0.25">
      <c r="A46" s="1"/>
      <c r="B46" s="128" t="s">
        <v>201</v>
      </c>
      <c r="C46" s="129"/>
      <c r="D46" s="129"/>
      <c r="E46" s="129"/>
      <c r="F46" s="129"/>
      <c r="G46" s="141"/>
      <c r="H46" s="130"/>
      <c r="I46" s="1"/>
    </row>
    <row r="47" spans="1:9" x14ac:dyDescent="0.25">
      <c r="A47" s="1"/>
      <c r="B47" s="135" t="s">
        <v>124</v>
      </c>
      <c r="C47" s="136"/>
      <c r="D47" s="136"/>
      <c r="E47" s="136"/>
      <c r="F47" s="137"/>
      <c r="G47" s="57">
        <f>(G41+G42-G43)*(1+'Fane 13. Nøgletal'!C15)</f>
        <v>15010425.309948785</v>
      </c>
      <c r="H47" s="14" t="s">
        <v>3</v>
      </c>
      <c r="I47" s="1"/>
    </row>
    <row r="48" spans="1:9" x14ac:dyDescent="0.25">
      <c r="A48" s="1"/>
      <c r="B48" s="135" t="s">
        <v>125</v>
      </c>
      <c r="C48" s="136"/>
      <c r="D48" s="136"/>
      <c r="E48" s="136"/>
      <c r="F48" s="137"/>
      <c r="G48" s="57">
        <f>(G47)*'Fane 13. Nøgletal'!C26</f>
        <v>0</v>
      </c>
      <c r="H48" s="14" t="s">
        <v>3</v>
      </c>
      <c r="I48" s="1"/>
    </row>
    <row r="49" spans="1:9" x14ac:dyDescent="0.25">
      <c r="A49" s="1"/>
      <c r="B49" s="66"/>
      <c r="C49" s="67"/>
      <c r="D49" s="67"/>
      <c r="E49" s="67"/>
      <c r="F49" s="67"/>
      <c r="G49" s="60"/>
      <c r="H49" s="19"/>
      <c r="I49" s="1"/>
    </row>
    <row r="50" spans="1:9" x14ac:dyDescent="0.25">
      <c r="A50" s="1"/>
      <c r="B50" s="1"/>
      <c r="C50" s="1"/>
      <c r="D50" s="1"/>
      <c r="E50" s="1"/>
      <c r="F50" s="1"/>
      <c r="G50" s="61"/>
      <c r="H50" s="1"/>
      <c r="I50" s="1"/>
    </row>
    <row r="51" spans="1:9" x14ac:dyDescent="0.25">
      <c r="A51" s="1"/>
      <c r="B51" s="128" t="s">
        <v>142</v>
      </c>
      <c r="C51" s="129"/>
      <c r="D51" s="129"/>
      <c r="E51" s="129"/>
      <c r="F51" s="129"/>
      <c r="G51" s="141"/>
      <c r="H51" s="130"/>
      <c r="I51" s="1"/>
    </row>
    <row r="52" spans="1:9" x14ac:dyDescent="0.25">
      <c r="A52" s="1"/>
      <c r="B52" s="135" t="s">
        <v>143</v>
      </c>
      <c r="C52" s="136"/>
      <c r="D52" s="136"/>
      <c r="E52" s="136"/>
      <c r="F52" s="137"/>
      <c r="G52" s="57">
        <f>(G47-G48)*(1+'Fane 13. Nøgletal'!C15)</f>
        <v>15544796.450982964</v>
      </c>
      <c r="H52" s="14" t="s">
        <v>3</v>
      </c>
      <c r="I52" s="1"/>
    </row>
    <row r="53" spans="1:9" x14ac:dyDescent="0.25">
      <c r="A53" s="1"/>
      <c r="B53" s="135" t="s">
        <v>144</v>
      </c>
      <c r="C53" s="136"/>
      <c r="D53" s="136"/>
      <c r="E53" s="136"/>
      <c r="F53" s="137"/>
      <c r="G53" s="57">
        <f>(G52)*'Fane 13. Nøgletal'!C26</f>
        <v>0</v>
      </c>
      <c r="H53" s="14" t="s">
        <v>3</v>
      </c>
      <c r="I53" s="1"/>
    </row>
    <row r="54" spans="1:9" x14ac:dyDescent="0.25">
      <c r="A54" s="1"/>
      <c r="B54" s="66"/>
      <c r="C54" s="67"/>
      <c r="D54" s="67"/>
      <c r="E54" s="67"/>
      <c r="F54" s="67"/>
      <c r="G54" s="60"/>
      <c r="H54" s="19"/>
      <c r="I54" s="1"/>
    </row>
    <row r="55" spans="1:9" x14ac:dyDescent="0.25">
      <c r="A55" s="1"/>
      <c r="B55" s="1"/>
      <c r="C55" s="1"/>
      <c r="D55" s="1"/>
      <c r="E55" s="1"/>
      <c r="F55" s="1"/>
      <c r="G55" s="61"/>
      <c r="H55" s="1"/>
      <c r="I55" s="1"/>
    </row>
    <row r="56" spans="1:9" x14ac:dyDescent="0.25">
      <c r="A56" s="1"/>
      <c r="B56" s="128" t="s">
        <v>177</v>
      </c>
      <c r="C56" s="129"/>
      <c r="D56" s="129"/>
      <c r="E56" s="129"/>
      <c r="F56" s="129"/>
      <c r="G56" s="141"/>
      <c r="H56" s="130"/>
      <c r="I56" s="1"/>
    </row>
    <row r="57" spans="1:9" x14ac:dyDescent="0.25">
      <c r="A57" s="1"/>
      <c r="B57" s="135" t="s">
        <v>178</v>
      </c>
      <c r="C57" s="136"/>
      <c r="D57" s="136"/>
      <c r="E57" s="136"/>
      <c r="F57" s="137"/>
      <c r="G57" s="57">
        <f>(G52-G53)*(1+'Fane 13. Nøgletal'!C15)</f>
        <v>16098191.204637958</v>
      </c>
      <c r="H57" s="14" t="s">
        <v>3</v>
      </c>
      <c r="I57" s="1"/>
    </row>
    <row r="58" spans="1:9" x14ac:dyDescent="0.25">
      <c r="A58" s="1"/>
      <c r="B58" s="135" t="s">
        <v>179</v>
      </c>
      <c r="C58" s="136"/>
      <c r="D58" s="136"/>
      <c r="E58" s="136"/>
      <c r="F58" s="137"/>
      <c r="G58" s="57">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140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82</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8" t="s">
        <v>9</v>
      </c>
      <c r="C8" s="129"/>
      <c r="D8" s="129"/>
      <c r="E8" s="129"/>
      <c r="F8" s="129"/>
      <c r="G8" s="130"/>
      <c r="H8" s="1"/>
    </row>
    <row r="9" spans="1:8" x14ac:dyDescent="0.25">
      <c r="A9" s="1"/>
      <c r="B9" s="83" t="s">
        <v>180</v>
      </c>
      <c r="C9" s="84"/>
      <c r="D9" s="84"/>
      <c r="E9" s="84"/>
      <c r="F9" s="85"/>
      <c r="G9" s="28">
        <v>0.02</v>
      </c>
      <c r="H9" s="1"/>
    </row>
    <row r="10" spans="1:8" x14ac:dyDescent="0.25">
      <c r="A10" s="1"/>
      <c r="B10" s="81"/>
      <c r="C10" s="82"/>
      <c r="D10" s="82"/>
      <c r="E10" s="82"/>
      <c r="F10" s="82"/>
      <c r="G10" s="19"/>
      <c r="H10" s="1"/>
    </row>
    <row r="11" spans="1:8" x14ac:dyDescent="0.25">
      <c r="A11" s="1"/>
      <c r="B11" s="1"/>
      <c r="C11" s="1"/>
      <c r="D11" s="1"/>
      <c r="E11" s="1"/>
      <c r="F11" s="1"/>
      <c r="G11" s="1"/>
      <c r="H11" s="1"/>
    </row>
    <row r="12" spans="1:8" ht="31.5" customHeight="1" x14ac:dyDescent="0.25">
      <c r="A12" s="1"/>
      <c r="B12" s="145" t="s">
        <v>202</v>
      </c>
      <c r="C12" s="145"/>
      <c r="D12" s="145"/>
      <c r="E12" s="145"/>
      <c r="F12" s="145"/>
      <c r="G12" s="14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F2/78x0Q3c38pu2zj2MOiUihAg7Us4fwthCc3hAJOoKGE7FsilSM7oQHyaABh+KhzU1ltJ70Wrq2BBPuUgq5wA==" saltValue="jgEo9DYyTlIIpmaq3eV/x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2022-12-01T09:28:51Z</dcterms:modified>
</cp:coreProperties>
</file>