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øng Vandværk a.m.b.a. (V101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33" i="8" l="1"/>
  <c r="E25" i="8" l="1"/>
  <c r="E35" i="8" s="1"/>
  <c r="E20" i="5" l="1"/>
  <c r="E20" i="4"/>
  <c r="E21" i="3"/>
  <c r="E29" i="8"/>
  <c r="E25" i="2" s="1"/>
  <c r="E10" i="2"/>
  <c r="E14" i="6"/>
  <c r="C11" i="12" l="1"/>
  <c r="C12" i="12" s="1"/>
  <c r="C13" i="7"/>
  <c r="C14" i="7" s="1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E9" i="2" l="1"/>
  <c r="F11" i="9" l="1"/>
  <c r="C10" i="10" s="1"/>
  <c r="C12" i="10" s="1"/>
  <c r="C13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0" i="10" s="1"/>
  <c r="E12" i="10" s="1"/>
  <c r="E13" i="10" l="1"/>
  <c r="E11" i="2" s="1"/>
  <c r="E14" i="2" l="1"/>
  <c r="E15" i="2" s="1"/>
  <c r="E16" i="2" s="1"/>
  <c r="E28" i="2" s="1"/>
  <c r="E9" i="3" l="1"/>
  <c r="E11" i="3" s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<sst xmlns="http://schemas.openxmlformats.org/spreadsheetml/2006/main" count="406" uniqueCount="154">
  <si>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</si>
  <si>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</si>
  <si>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</si>
  <si>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</si>
  <si>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</si>
  <si>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</si>
  <si>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</si>
  <si>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</si>
  <si>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</si>
  <si>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</si>
  <si>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</si>
  <si>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</si>
  <si>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</si>
  <si>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</si>
  <si>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</si>
  <si>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</si>
  <si>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</si>
  <si>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</si>
  <si>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</si>
  <si>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</si>
  <si>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</si>
  <si>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</si>
  <si>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</si>
  <si>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</si>
  <si>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</si>
  <si>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</si>
  <si>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</si>
  <si>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</si>
  <si>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</si>
  <si>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</si>
  <si>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</si>
  <si>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</si>
  <si>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</si>
  <si>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</si>
  <si>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</si>
  <si>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</si>
  <si>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</si>
  <si>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</si>
  <si>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</si>
  <si>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</si>
  <si>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</si>
  <si>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</si>
  <si>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</si>
  <si>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</si>
  <si>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</si>
  <si>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</si>
  <si>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</si>
  <si>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</si>
  <si>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</si>
  <si>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</si>
  <si>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</si>
  <si>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</si>
  <si>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</si>
  <si>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</si>
  <si>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</si>
  <si>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</si>
  <si>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</si>
  <si>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</si>
  <si>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</si>
  <si>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</si>
  <si>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</si>
  <si>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</si>
  <si>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</si>
  <si>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</si>
  <si>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</si>
  <si>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</si>
  <si>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</si>
  <si>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</si>
  <si>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</si>
  <si>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</si>
  <si>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</si>
  <si>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</si>
  <si>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</si>
  <si>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</si>
  <si>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</si>
  <si>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</si>
  <si>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</si>
  <si>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</si>
  <si>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</si>
  <si>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</si>
  <si>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</si>
  <si>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</si>
  <si>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</si>
  <si>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</si>
  <si>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</si>
  <si>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</si>
  <si>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</si>
  <si>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</si>
  <si>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</si>
  <si>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</si>
  <si>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</si>
  <si>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</si>
  <si>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</si>
  <si>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</si>
  <si>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</si>
  <si>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</si>
  <si>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</si>
  <si>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</si>
  <si>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</si>
  <si>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</si>
  <si>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</si>
  <si>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</si>
  <si>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</si>
  <si>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</si>
  <si>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</si>
  <si>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</si>
  <si>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</si>
  <si>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</si>
  <si>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</si>
  <si>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</si>
  <si>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</si>
  <si>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</si>
  <si>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</si>
  <si>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</si>
  <si>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</si>
  <si>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</si>
  <si>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</si>
  <si>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</si>
  <si>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</si>
  <si>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</si>
  <si>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</si>
  <si>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</si>
  <si>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</si>
  <si>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</si>
  <si>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</si>
  <si>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</si>
  <si>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</si>
  <si>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</si>
  <si>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</si>
  <si>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Udvidelse</t>
  </si>
  <si>
    <t>Ingen tilknyttet virksomhed</t>
  </si>
  <si>
    <t>Ingen engangstillæg</t>
  </si>
  <si>
    <t>Afgift for ledningsført vand</t>
  </si>
  <si>
    <t>Afgift til Forsyningssekretariatet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</si>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</sst>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7" borderId="2" xfId="0" applyNumberFormat="1" applyFont="1" applyFill="1" applyBorder="1" applyAlignment="1" applyProtection="1">
      <alignment horizontal="left"/>
    </xf>
    <xf numFmtId="0" fontId="16" fillId="7" borderId="1" xfId="0" applyFont="1" applyFill="1" applyBorder="1" applyAlignment="1" applyProtection="1"/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7" borderId="1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2" t="s">
        <v>4</v>
      </c>
      <c r="E6" s="62"/>
      <c r="F6" s="62"/>
      <c r="G6" s="62"/>
      <c r="H6" s="3"/>
      <c r="I6" s="1"/>
    </row>
    <row r="7" spans="1:9" ht="15" customHeight="1" x14ac:dyDescent="0.45">
      <c r="A7" s="1"/>
      <c r="B7" s="1"/>
      <c r="C7" s="3"/>
      <c r="D7" s="62"/>
      <c r="E7" s="62"/>
      <c r="F7" s="62"/>
      <c r="G7" s="62"/>
      <c r="H7" s="3"/>
      <c r="I7" s="1"/>
    </row>
    <row r="8" spans="1:9" ht="15.75" x14ac:dyDescent="0.5">
      <c r="A8" s="1"/>
      <c r="B8" s="1"/>
      <c r="C8" s="4"/>
      <c r="D8" s="67" t="s">
        <v>94</v>
      </c>
      <c r="E8" s="67"/>
      <c r="F8" s="67"/>
      <c r="G8" s="67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6" t="s">
        <v>5</v>
      </c>
      <c r="E11" s="66"/>
      <c r="F11" s="66"/>
      <c r="G11" s="66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9" t="s">
        <v>87</v>
      </c>
      <c r="E13" s="60"/>
      <c r="F13" s="60"/>
      <c r="G13" s="61"/>
      <c r="H13" s="1"/>
      <c r="I13" s="1"/>
    </row>
    <row r="14" spans="1:9" x14ac:dyDescent="0.45">
      <c r="A14" s="1"/>
      <c r="B14" s="1"/>
      <c r="C14" s="6" t="s">
        <v>15</v>
      </c>
      <c r="D14" s="59" t="s">
        <v>37</v>
      </c>
      <c r="E14" s="60"/>
      <c r="F14" s="60"/>
      <c r="G14" s="61"/>
      <c r="H14" s="1"/>
      <c r="I14" s="1"/>
    </row>
    <row r="15" spans="1:9" x14ac:dyDescent="0.45">
      <c r="A15" s="1"/>
      <c r="B15" s="1"/>
      <c r="C15" s="6" t="s">
        <v>32</v>
      </c>
      <c r="D15" s="59" t="s">
        <v>63</v>
      </c>
      <c r="E15" s="60"/>
      <c r="F15" s="60"/>
      <c r="G15" s="61"/>
      <c r="H15" s="1"/>
      <c r="I15" s="1"/>
    </row>
    <row r="16" spans="1:9" x14ac:dyDescent="0.45">
      <c r="A16" s="1"/>
      <c r="B16" s="1"/>
      <c r="C16" s="6" t="s">
        <v>33</v>
      </c>
      <c r="D16" s="59" t="s">
        <v>95</v>
      </c>
      <c r="E16" s="60"/>
      <c r="F16" s="60"/>
      <c r="G16" s="61"/>
      <c r="H16" s="1"/>
      <c r="I16" s="1"/>
    </row>
    <row r="17" spans="1:9" x14ac:dyDescent="0.45">
      <c r="A17" s="1"/>
      <c r="B17" s="1"/>
      <c r="C17" s="6" t="s">
        <v>59</v>
      </c>
      <c r="D17" s="59" t="s">
        <v>96</v>
      </c>
      <c r="E17" s="60"/>
      <c r="F17" s="60"/>
      <c r="G17" s="61"/>
      <c r="H17" s="1"/>
      <c r="I17" s="1"/>
    </row>
    <row r="18" spans="1:9" x14ac:dyDescent="0.45">
      <c r="A18" s="1"/>
      <c r="B18" s="1"/>
      <c r="C18" s="6" t="s">
        <v>7</v>
      </c>
      <c r="D18" s="71" t="s">
        <v>12</v>
      </c>
      <c r="E18" s="72"/>
      <c r="F18" s="72"/>
      <c r="G18" s="73"/>
      <c r="H18" s="1"/>
      <c r="I18" s="1"/>
    </row>
    <row r="19" spans="1:9" x14ac:dyDescent="0.45">
      <c r="A19" s="1"/>
      <c r="B19" s="1"/>
      <c r="C19" s="6" t="s">
        <v>8</v>
      </c>
      <c r="D19" s="63" t="s">
        <v>97</v>
      </c>
      <c r="E19" s="64"/>
      <c r="F19" s="64"/>
      <c r="G19" s="65"/>
      <c r="H19" s="1"/>
      <c r="I19" s="1"/>
    </row>
    <row r="20" spans="1:9" x14ac:dyDescent="0.45">
      <c r="A20" s="1"/>
      <c r="B20" s="1"/>
      <c r="C20" s="6" t="s">
        <v>56</v>
      </c>
      <c r="D20" s="63" t="s">
        <v>34</v>
      </c>
      <c r="E20" s="64"/>
      <c r="F20" s="64"/>
      <c r="G20" s="65"/>
      <c r="H20" s="1"/>
      <c r="I20" s="1"/>
    </row>
    <row r="21" spans="1:9" x14ac:dyDescent="0.45">
      <c r="A21" s="1"/>
      <c r="B21" s="1"/>
      <c r="C21" s="6" t="s">
        <v>82</v>
      </c>
      <c r="D21" s="63" t="s">
        <v>41</v>
      </c>
      <c r="E21" s="64"/>
      <c r="F21" s="64"/>
      <c r="G21" s="65"/>
      <c r="H21" s="1"/>
      <c r="I21" s="1"/>
    </row>
    <row r="22" spans="1:9" x14ac:dyDescent="0.45">
      <c r="A22" s="1"/>
      <c r="B22" s="1"/>
      <c r="C22" s="6" t="s">
        <v>83</v>
      </c>
      <c r="D22" s="63" t="s">
        <v>42</v>
      </c>
      <c r="E22" s="64"/>
      <c r="F22" s="64"/>
      <c r="G22" s="65"/>
      <c r="H22" s="1"/>
      <c r="I22" s="1"/>
    </row>
    <row r="23" spans="1:9" x14ac:dyDescent="0.45">
      <c r="A23" s="1"/>
      <c r="B23" s="1"/>
      <c r="C23" s="6" t="s">
        <v>84</v>
      </c>
      <c r="D23" s="63" t="s">
        <v>64</v>
      </c>
      <c r="E23" s="64"/>
      <c r="F23" s="64"/>
      <c r="G23" s="65"/>
      <c r="H23" s="1"/>
      <c r="I23" s="1"/>
    </row>
    <row r="24" spans="1:9" x14ac:dyDescent="0.45">
      <c r="A24" s="1"/>
      <c r="B24" s="1"/>
      <c r="C24" s="6" t="s">
        <v>9</v>
      </c>
      <c r="D24" s="63" t="s">
        <v>35</v>
      </c>
      <c r="E24" s="64"/>
      <c r="F24" s="64"/>
      <c r="G24" s="65"/>
      <c r="H24" s="1"/>
      <c r="I24" s="1"/>
    </row>
    <row r="25" spans="1:9" x14ac:dyDescent="0.45">
      <c r="A25" s="1"/>
      <c r="B25" s="1"/>
      <c r="C25" s="6" t="s">
        <v>50</v>
      </c>
      <c r="D25" s="68" t="s">
        <v>57</v>
      </c>
      <c r="E25" s="69"/>
      <c r="F25" s="69"/>
      <c r="G25" s="70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cq+CXYfPcu6IEu+/TDQ4vE8TiB77ca9cQgXlo6sYBhCi/TLwKcZmLUZfrm2TNDPJ2Gej1mgDafOucCuUfrZx7A==" saltValue="7SbKYMwp3kTZubHHbJvLKQ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89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7" t="s">
        <v>38</v>
      </c>
      <c r="C8" s="22"/>
      <c r="D8" s="22"/>
      <c r="E8" s="22"/>
      <c r="F8" s="58"/>
      <c r="G8" s="1"/>
    </row>
    <row r="9" spans="1:7" ht="17.25" customHeight="1" x14ac:dyDescent="0.45">
      <c r="A9" s="1"/>
      <c r="B9" s="23" t="s">
        <v>16</v>
      </c>
      <c r="C9" s="23" t="s">
        <v>11</v>
      </c>
      <c r="D9" s="24"/>
      <c r="E9" s="23" t="s">
        <v>28</v>
      </c>
      <c r="F9" s="56"/>
      <c r="G9" s="1"/>
    </row>
    <row r="10" spans="1:7" x14ac:dyDescent="0.4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37" t="s">
        <v>129</v>
      </c>
      <c r="C11" s="19">
        <v>36865.22</v>
      </c>
      <c r="D11" s="12" t="s">
        <v>3</v>
      </c>
      <c r="E11" s="8">
        <v>0</v>
      </c>
      <c r="F11" s="12" t="s">
        <v>3</v>
      </c>
      <c r="G11" s="1"/>
    </row>
    <row r="12" spans="1:7" x14ac:dyDescent="0.45">
      <c r="A12" s="1"/>
      <c r="B12" s="57" t="s">
        <v>69</v>
      </c>
      <c r="C12" s="10">
        <f>SUM(C10:C11)</f>
        <v>36865.22</v>
      </c>
      <c r="D12" s="11" t="s">
        <v>3</v>
      </c>
      <c r="E12" s="10">
        <f>SUM(E10:E11)</f>
        <v>0</v>
      </c>
      <c r="F12" s="11" t="s">
        <v>3</v>
      </c>
      <c r="G12" s="1"/>
    </row>
    <row r="13" spans="1:7" x14ac:dyDescent="0.45">
      <c r="A13" s="1"/>
      <c r="B13" s="57" t="s">
        <v>110</v>
      </c>
      <c r="C13" s="10">
        <f>C12*(1+'Fane 10. Nøgletal'!C14)</f>
        <v>36986.875226000004</v>
      </c>
      <c r="D13" s="11" t="s">
        <v>3</v>
      </c>
      <c r="E13" s="10">
        <f>E12*(1+'Fane 10. Nøgletal'!C14)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rvOmqbDjsFS6k+xWf0iD2VeLtYkPPTwQpBXxi4G/2f7hyly91B+rjquKvgFahmJ89qEd2KZcdIKEsd5+5S+nyw==" saltValue="2aDCnjz8wrBlum410PMuMg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90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9" t="s">
        <v>51</v>
      </c>
      <c r="C8" s="90"/>
      <c r="D8" s="90"/>
      <c r="E8" s="90"/>
      <c r="F8" s="91"/>
      <c r="G8" s="1"/>
    </row>
    <row r="9" spans="1:7" x14ac:dyDescent="0.45">
      <c r="A9" s="1"/>
      <c r="B9" s="23" t="s">
        <v>16</v>
      </c>
      <c r="C9" s="23" t="s">
        <v>11</v>
      </c>
      <c r="D9" s="24"/>
      <c r="E9" s="23" t="s">
        <v>28</v>
      </c>
      <c r="F9" s="56"/>
      <c r="G9" s="1"/>
    </row>
    <row r="10" spans="1:7" x14ac:dyDescent="0.45">
      <c r="A10" s="1"/>
      <c r="B10" s="20" t="s">
        <v>131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45">
      <c r="A11" s="1"/>
      <c r="B11" s="57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45">
      <c r="A13" s="1"/>
      <c r="B13" s="57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9" t="s">
        <v>52</v>
      </c>
      <c r="C15" s="90"/>
      <c r="D15" s="90"/>
      <c r="E15" s="90"/>
      <c r="F15" s="91"/>
      <c r="G15" s="1"/>
    </row>
    <row r="16" spans="1:7" x14ac:dyDescent="0.45">
      <c r="A16" s="1"/>
      <c r="B16" s="23" t="s">
        <v>16</v>
      </c>
      <c r="C16" s="23" t="s">
        <v>11</v>
      </c>
      <c r="D16" s="24"/>
      <c r="E16" s="23" t="s">
        <v>28</v>
      </c>
      <c r="F16" s="56"/>
      <c r="G16" s="1"/>
    </row>
    <row r="17" spans="1:7" x14ac:dyDescent="0.45">
      <c r="A17" s="1"/>
      <c r="B17" s="20" t="s">
        <v>131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45">
      <c r="A18" s="1"/>
      <c r="B18" s="57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45">
      <c r="A20" s="1"/>
      <c r="B20" s="57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9" t="s">
        <v>77</v>
      </c>
      <c r="C22" s="90"/>
      <c r="D22" s="90"/>
      <c r="E22" s="90"/>
      <c r="F22" s="91"/>
      <c r="G22" s="1"/>
    </row>
    <row r="23" spans="1:7" x14ac:dyDescent="0.45">
      <c r="A23" s="1"/>
      <c r="B23" s="23" t="s">
        <v>16</v>
      </c>
      <c r="C23" s="23" t="s">
        <v>11</v>
      </c>
      <c r="D23" s="24"/>
      <c r="E23" s="23" t="s">
        <v>28</v>
      </c>
      <c r="F23" s="56"/>
      <c r="G23" s="1"/>
    </row>
    <row r="24" spans="1:7" x14ac:dyDescent="0.45">
      <c r="A24" s="1"/>
      <c r="B24" s="20" t="s">
        <v>131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45">
      <c r="A25" s="1"/>
      <c r="B25" s="57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45">
      <c r="A27" s="1"/>
      <c r="B27" s="57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9" t="s">
        <v>112</v>
      </c>
      <c r="C29" s="90"/>
      <c r="D29" s="90"/>
      <c r="E29" s="90"/>
      <c r="F29" s="91"/>
      <c r="G29" s="1"/>
    </row>
    <row r="30" spans="1:7" x14ac:dyDescent="0.45">
      <c r="A30" s="1"/>
      <c r="B30" s="23" t="s">
        <v>16</v>
      </c>
      <c r="C30" s="23" t="s">
        <v>11</v>
      </c>
      <c r="D30" s="24"/>
      <c r="E30" s="23" t="s">
        <v>28</v>
      </c>
      <c r="F30" s="56"/>
      <c r="G30" s="1"/>
    </row>
    <row r="31" spans="1:7" x14ac:dyDescent="0.45">
      <c r="A31" s="1"/>
      <c r="B31" s="20" t="s">
        <v>131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45">
      <c r="A32" s="1"/>
      <c r="B32" s="57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45">
      <c r="A34" s="1"/>
      <c r="B34" s="57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xRA2ZrCNVVuOLkcjnohoGznuKSJOmAlj5FpIyugxpobi5JLL79zPrk+TY+0vrH2lSF5YfY+P+dsDnDHnNctqQg==" saltValue="nJ1wgXXtfd1P274vJQ07yA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7" t="s">
        <v>91</v>
      </c>
      <c r="C3" s="87"/>
      <c r="D3" s="87"/>
      <c r="E3" s="87"/>
      <c r="F3" s="87"/>
      <c r="G3" s="1"/>
    </row>
    <row r="4" spans="1:7" ht="25.5" customHeight="1" x14ac:dyDescent="0.45">
      <c r="A4" s="1"/>
      <c r="B4" s="87"/>
      <c r="C4" s="87"/>
      <c r="D4" s="87"/>
      <c r="E4" s="87"/>
      <c r="F4" s="87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9" t="s">
        <v>71</v>
      </c>
      <c r="C8" s="90"/>
      <c r="D8" s="90"/>
      <c r="E8" s="90"/>
      <c r="F8" s="91"/>
      <c r="G8" s="1"/>
    </row>
    <row r="9" spans="1:7" ht="15" customHeight="1" x14ac:dyDescent="0.45">
      <c r="A9" s="1"/>
      <c r="B9" s="55" t="s">
        <v>78</v>
      </c>
      <c r="C9" s="105" t="s">
        <v>11</v>
      </c>
      <c r="D9" s="106"/>
      <c r="E9" s="105" t="s">
        <v>28</v>
      </c>
      <c r="F9" s="106"/>
      <c r="G9" s="1"/>
    </row>
    <row r="10" spans="1:7" x14ac:dyDescent="0.45">
      <c r="A10" s="1"/>
      <c r="B10" s="20" t="s">
        <v>130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a1Tcpth6BfDqtWLbkI1pTBWlOm2LUU3ZpBT+lz+h/RbToV0bKCZAMUbGiDOHhQ4RokwBJHcWr4dLYV8me7EIkA==" saltValue="4sApu2MvrAD+7Upaktg8og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7" t="s">
        <v>92</v>
      </c>
      <c r="C3" s="87"/>
      <c r="D3" s="87"/>
      <c r="E3" s="87"/>
      <c r="F3" s="87"/>
      <c r="G3" s="1"/>
    </row>
    <row r="4" spans="1:7" ht="25.5" customHeight="1" x14ac:dyDescent="0.45">
      <c r="A4" s="1"/>
      <c r="B4" s="87"/>
      <c r="C4" s="87"/>
      <c r="D4" s="87"/>
      <c r="E4" s="87"/>
      <c r="F4" s="87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9" t="s">
        <v>48</v>
      </c>
      <c r="C8" s="90"/>
      <c r="D8" s="90"/>
      <c r="E8" s="90"/>
      <c r="F8" s="91"/>
      <c r="G8" s="1"/>
    </row>
    <row r="9" spans="1:7" ht="15" customHeight="1" x14ac:dyDescent="0.45">
      <c r="A9" s="1"/>
      <c r="B9" s="55" t="s">
        <v>17</v>
      </c>
      <c r="C9" s="55" t="s">
        <v>11</v>
      </c>
      <c r="D9" s="56"/>
      <c r="E9" s="55" t="s">
        <v>28</v>
      </c>
      <c r="F9" s="56"/>
      <c r="G9" s="1"/>
    </row>
    <row r="10" spans="1:7" x14ac:dyDescent="0.45">
      <c r="A10" s="1"/>
      <c r="B10" s="20" t="s">
        <v>135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57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7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9" t="s">
        <v>49</v>
      </c>
      <c r="C14" s="90"/>
      <c r="D14" s="90"/>
      <c r="E14" s="90"/>
      <c r="F14" s="91"/>
      <c r="G14" s="1"/>
    </row>
    <row r="15" spans="1:7" x14ac:dyDescent="0.45">
      <c r="A15" s="1"/>
      <c r="B15" s="55" t="s">
        <v>17</v>
      </c>
      <c r="C15" s="55" t="s">
        <v>11</v>
      </c>
      <c r="D15" s="56"/>
      <c r="E15" s="55" t="s">
        <v>28</v>
      </c>
      <c r="F15" s="56"/>
      <c r="G15" s="1"/>
    </row>
    <row r="16" spans="1:7" x14ac:dyDescent="0.45">
      <c r="A16" s="1"/>
      <c r="B16" s="20" t="s">
        <v>135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57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57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9" t="s">
        <v>73</v>
      </c>
      <c r="C20" s="90"/>
      <c r="D20" s="90"/>
      <c r="E20" s="90"/>
      <c r="F20" s="91"/>
      <c r="G20" s="1"/>
    </row>
    <row r="21" spans="1:7" x14ac:dyDescent="0.45">
      <c r="A21" s="1"/>
      <c r="B21" s="55" t="s">
        <v>17</v>
      </c>
      <c r="C21" s="55" t="s">
        <v>11</v>
      </c>
      <c r="D21" s="56"/>
      <c r="E21" s="55" t="s">
        <v>28</v>
      </c>
      <c r="F21" s="56"/>
      <c r="G21" s="1"/>
    </row>
    <row r="22" spans="1:7" x14ac:dyDescent="0.45">
      <c r="A22" s="1"/>
      <c r="B22" s="20" t="s">
        <v>135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57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57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9" t="s">
        <v>116</v>
      </c>
      <c r="C26" s="90"/>
      <c r="D26" s="90"/>
      <c r="E26" s="90"/>
      <c r="F26" s="91"/>
      <c r="G26" s="1"/>
    </row>
    <row r="27" spans="1:7" x14ac:dyDescent="0.45">
      <c r="A27" s="1"/>
      <c r="B27" s="55" t="s">
        <v>17</v>
      </c>
      <c r="C27" s="55" t="s">
        <v>11</v>
      </c>
      <c r="D27" s="56"/>
      <c r="E27" s="55" t="s">
        <v>28</v>
      </c>
      <c r="F27" s="56"/>
      <c r="G27" s="1"/>
    </row>
    <row r="28" spans="1:7" x14ac:dyDescent="0.45">
      <c r="A28" s="1"/>
      <c r="B28" s="20" t="s">
        <v>135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57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57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BumvOdhno0Jbrq/vIfosVZLX9VkbhGbgZJMGdo3VpgsYMu5butbgIwqkFQrJASfGYm84zo9GsM9FeFrD7W/gZQ==" saltValue="STiErKxhdNjacN157QsZtw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50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7" t="s">
        <v>93</v>
      </c>
      <c r="C3" s="87"/>
      <c r="D3" s="1"/>
    </row>
    <row r="4" spans="1:4" ht="25.5" customHeight="1" x14ac:dyDescent="0.45">
      <c r="A4" s="1"/>
      <c r="B4" s="87"/>
      <c r="C4" s="87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57" t="s">
        <v>14</v>
      </c>
      <c r="C8" s="58"/>
      <c r="D8" s="1"/>
    </row>
    <row r="9" spans="1:4" x14ac:dyDescent="0.45">
      <c r="A9" s="1"/>
      <c r="B9" s="28" t="s">
        <v>127</v>
      </c>
      <c r="C9" s="21">
        <v>1.2699999999999999E-2</v>
      </c>
      <c r="D9" s="1"/>
    </row>
    <row r="10" spans="1:4" x14ac:dyDescent="0.45">
      <c r="A10" s="1"/>
      <c r="B10" s="28" t="s">
        <v>118</v>
      </c>
      <c r="C10" s="21">
        <v>1.7500000000000002E-2</v>
      </c>
      <c r="D10" s="1"/>
    </row>
    <row r="11" spans="1:4" x14ac:dyDescent="0.45">
      <c r="A11" s="1"/>
      <c r="B11" s="28" t="s">
        <v>22</v>
      </c>
      <c r="C11" s="21">
        <v>1.6899999999999998E-2</v>
      </c>
      <c r="D11" s="1"/>
    </row>
    <row r="12" spans="1:4" x14ac:dyDescent="0.45">
      <c r="A12" s="1"/>
      <c r="B12" s="28" t="s">
        <v>36</v>
      </c>
      <c r="C12" s="21">
        <v>1.9699999999999999E-2</v>
      </c>
      <c r="D12" s="1"/>
    </row>
    <row r="13" spans="1:4" x14ac:dyDescent="0.45">
      <c r="A13" s="1"/>
      <c r="B13" s="30" t="s">
        <v>74</v>
      </c>
      <c r="C13" s="31">
        <v>1.2200000000000001E-2</v>
      </c>
      <c r="D13" s="1"/>
    </row>
    <row r="14" spans="1:4" x14ac:dyDescent="0.45">
      <c r="A14" s="1"/>
      <c r="B14" s="30" t="s">
        <v>119</v>
      </c>
      <c r="C14" s="31">
        <v>3.3E-3</v>
      </c>
      <c r="D14" s="1"/>
    </row>
    <row r="15" spans="1:4" x14ac:dyDescent="0.45">
      <c r="A15" s="1"/>
      <c r="B15" s="57"/>
      <c r="C15" s="58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57" t="s">
        <v>54</v>
      </c>
      <c r="C18" s="58"/>
      <c r="D18" s="1"/>
    </row>
    <row r="19" spans="1:4" x14ac:dyDescent="0.45">
      <c r="A19" s="1"/>
      <c r="B19" s="28" t="s">
        <v>58</v>
      </c>
      <c r="C19" s="21">
        <v>1.7000000000000001E-2</v>
      </c>
      <c r="D19" s="1"/>
    </row>
    <row r="20" spans="1:4" x14ac:dyDescent="0.45">
      <c r="A20" s="1"/>
      <c r="B20" s="107"/>
      <c r="C20" s="108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</sheetData>
  <sheetProtection algorithmName="SHA-512" hashValue="zF2/kvA0ayu9IfoFph/7KGAABW4XI+5AuvJeDBad8BAVkRZk1i1KqQVQV76U6wC75sYuKNXf5IjjQsVuZfYQ9g==" saltValue="l2YPA3OYlVcpGYoGOYy7fw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98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1" t="s">
        <v>13</v>
      </c>
      <c r="C8" s="41"/>
      <c r="D8" s="41"/>
      <c r="E8" s="41"/>
      <c r="F8" s="41"/>
      <c r="G8" s="1"/>
    </row>
    <row r="9" spans="1:7" x14ac:dyDescent="0.45">
      <c r="A9" s="1"/>
      <c r="B9" s="47" t="s">
        <v>24</v>
      </c>
      <c r="C9" s="47"/>
      <c r="D9" s="47"/>
      <c r="E9" s="7">
        <f>'Fane 3. Omkostninger i ØR2021'!E16</f>
        <v>3502334.2821484208</v>
      </c>
      <c r="F9" s="47" t="s">
        <v>3</v>
      </c>
      <c r="G9" s="1"/>
    </row>
    <row r="10" spans="1:7" ht="17.100000000000001" customHeight="1" x14ac:dyDescent="0.45">
      <c r="A10" s="1"/>
      <c r="B10" s="33" t="s">
        <v>121</v>
      </c>
      <c r="C10" s="47"/>
      <c r="D10" s="47"/>
      <c r="E10" s="7">
        <f>'Fane 3. Omkostninger i ØR2021'!E13*(1-'Fane 10. Nøgletal'!C19)*(1+'Fane 10. Nøgletal'!C13)</f>
        <v>0</v>
      </c>
      <c r="F10" s="47" t="s">
        <v>3</v>
      </c>
      <c r="G10" s="1"/>
    </row>
    <row r="11" spans="1:7" ht="17.100000000000001" customHeight="1" x14ac:dyDescent="0.45">
      <c r="A11" s="1"/>
      <c r="B11" s="29" t="s">
        <v>60</v>
      </c>
      <c r="C11" s="47"/>
      <c r="D11" s="47"/>
      <c r="E11" s="7">
        <f>'Fane 7.1. Varige tillæg'!C13+'Fane 7.1. Varige tillæg'!E13</f>
        <v>36986.875226000004</v>
      </c>
      <c r="F11" s="47" t="s">
        <v>3</v>
      </c>
      <c r="G11" s="1"/>
    </row>
    <row r="12" spans="1:7" ht="17.100000000000001" customHeight="1" x14ac:dyDescent="0.45">
      <c r="A12" s="1"/>
      <c r="B12" s="29" t="s">
        <v>62</v>
      </c>
      <c r="C12" s="47"/>
      <c r="D12" s="47"/>
      <c r="E12" s="8">
        <f>-('Fane 9. Bortfald'!C12+'Fane 9. Bortfald'!E12)</f>
        <v>0</v>
      </c>
      <c r="F12" s="47" t="s">
        <v>3</v>
      </c>
      <c r="G12" s="1"/>
    </row>
    <row r="13" spans="1:7" ht="17.100000000000001" customHeight="1" x14ac:dyDescent="0.45">
      <c r="A13" s="1"/>
      <c r="B13" s="29" t="s">
        <v>65</v>
      </c>
      <c r="C13" s="47"/>
      <c r="D13" s="47"/>
      <c r="E13" s="8">
        <f>'Fane 8. Tilknyttet virksomhed'!C12+'Fane 8. Tilknyttet virksomhed'!E12</f>
        <v>0</v>
      </c>
      <c r="F13" s="47" t="s">
        <v>3</v>
      </c>
      <c r="G13" s="1"/>
    </row>
    <row r="14" spans="1:7" ht="17.100000000000001" customHeight="1" x14ac:dyDescent="0.45">
      <c r="A14" s="1"/>
      <c r="B14" s="29" t="s">
        <v>18</v>
      </c>
      <c r="C14" s="47"/>
      <c r="D14" s="47"/>
      <c r="E14" s="8">
        <f>E9*'Fane 10. Nøgletal'!C13+SUM(E11:E13)*'Fane 10. Nøgletal'!C14</f>
        <v>42850.534930456539</v>
      </c>
      <c r="F14" s="47" t="s">
        <v>3</v>
      </c>
      <c r="G14" s="1"/>
    </row>
    <row r="15" spans="1:7" ht="17.100000000000001" customHeight="1" x14ac:dyDescent="0.45">
      <c r="A15" s="1"/>
      <c r="B15" s="29" t="s">
        <v>54</v>
      </c>
      <c r="C15" s="47"/>
      <c r="D15" s="47"/>
      <c r="E15" s="8">
        <f>-SUM(E9,E11:E14)*'Fane 10. Nøgletal'!C19</f>
        <v>-60896.918769182914</v>
      </c>
      <c r="F15" s="47" t="s">
        <v>3</v>
      </c>
      <c r="G15" s="1"/>
    </row>
    <row r="16" spans="1:7" ht="15" customHeight="1" x14ac:dyDescent="0.45">
      <c r="A16" s="1"/>
      <c r="B16" s="54" t="s">
        <v>20</v>
      </c>
      <c r="C16" s="40"/>
      <c r="D16" s="40"/>
      <c r="E16" s="9">
        <f>SUM(E9,E11:E15)</f>
        <v>3521274.773535694</v>
      </c>
      <c r="F16" s="42" t="s">
        <v>3</v>
      </c>
      <c r="G16" s="1"/>
    </row>
    <row r="17" spans="1:7" ht="15" customHeight="1" x14ac:dyDescent="0.45">
      <c r="A17" s="1"/>
      <c r="B17" s="41" t="s">
        <v>12</v>
      </c>
      <c r="C17" s="41"/>
      <c r="D17" s="41"/>
      <c r="E17" s="41"/>
      <c r="F17" s="41"/>
      <c r="G17" s="1"/>
    </row>
    <row r="18" spans="1:7" ht="15" customHeight="1" x14ac:dyDescent="0.45">
      <c r="A18" s="1"/>
      <c r="B18" s="42" t="s">
        <v>12</v>
      </c>
      <c r="C18" s="42"/>
      <c r="D18" s="42"/>
      <c r="E18" s="9">
        <f>'Fane 4. Ikke-påvirkelige omk.'!C14</f>
        <v>1593936.1327665201</v>
      </c>
      <c r="F18" s="42" t="s">
        <v>3</v>
      </c>
      <c r="G18" s="1"/>
    </row>
    <row r="19" spans="1:7" ht="15" customHeight="1" x14ac:dyDescent="0.45">
      <c r="A19" s="1"/>
      <c r="B19" s="41" t="s">
        <v>42</v>
      </c>
      <c r="C19" s="41"/>
      <c r="D19" s="41"/>
      <c r="E19" s="41"/>
      <c r="F19" s="41"/>
      <c r="G19" s="1"/>
    </row>
    <row r="20" spans="1:7" ht="15" customHeight="1" x14ac:dyDescent="0.45">
      <c r="A20" s="1"/>
      <c r="B20" s="29" t="s">
        <v>39</v>
      </c>
      <c r="C20" s="47"/>
      <c r="D20" s="47"/>
      <c r="E20" s="8">
        <f>'Fane 7.2. Engangstillæg'!C13</f>
        <v>0</v>
      </c>
      <c r="F20" s="47" t="s">
        <v>3</v>
      </c>
      <c r="G20" s="1"/>
    </row>
    <row r="21" spans="1:7" x14ac:dyDescent="0.45">
      <c r="A21" s="1"/>
      <c r="B21" s="29" t="s">
        <v>40</v>
      </c>
      <c r="C21" s="47"/>
      <c r="D21" s="47"/>
      <c r="E21" s="8">
        <f>'Fane 7.2. Engangstillæg'!E13</f>
        <v>0</v>
      </c>
      <c r="F21" s="47" t="s">
        <v>3</v>
      </c>
      <c r="G21" s="1"/>
    </row>
    <row r="22" spans="1:7" ht="15" customHeight="1" x14ac:dyDescent="0.45">
      <c r="A22" s="1"/>
      <c r="B22" s="54" t="s">
        <v>43</v>
      </c>
      <c r="C22" s="40"/>
      <c r="D22" s="40"/>
      <c r="E22" s="9">
        <f>SUM(E20:E21)</f>
        <v>0</v>
      </c>
      <c r="F22" s="42" t="s">
        <v>3</v>
      </c>
      <c r="G22" s="1"/>
    </row>
    <row r="23" spans="1:7" x14ac:dyDescent="0.45">
      <c r="A23" s="1"/>
      <c r="B23" s="41" t="s">
        <v>85</v>
      </c>
      <c r="C23" s="41"/>
      <c r="D23" s="41"/>
      <c r="E23" s="41"/>
      <c r="F23" s="41"/>
      <c r="G23" s="1"/>
    </row>
    <row r="24" spans="1:7" x14ac:dyDescent="0.45">
      <c r="A24" s="1"/>
      <c r="B24" s="54" t="s">
        <v>31</v>
      </c>
      <c r="C24" s="40"/>
      <c r="D24" s="40"/>
      <c r="E24" s="9">
        <v>-67992.051999325224</v>
      </c>
      <c r="F24" s="42" t="s">
        <v>3</v>
      </c>
      <c r="G24" s="1"/>
    </row>
    <row r="25" spans="1:7" x14ac:dyDescent="0.45">
      <c r="A25" s="1"/>
      <c r="B25" s="54" t="s">
        <v>86</v>
      </c>
      <c r="C25" s="40"/>
      <c r="D25" s="40"/>
      <c r="E25" s="9">
        <f>'Fane 5. Kontrol af ØR2020'!E29</f>
        <v>0</v>
      </c>
      <c r="F25" s="42" t="s">
        <v>3</v>
      </c>
      <c r="G25" s="1"/>
    </row>
    <row r="26" spans="1:7" x14ac:dyDescent="0.45">
      <c r="A26" s="1"/>
      <c r="B26" s="41" t="s">
        <v>149</v>
      </c>
      <c r="C26" s="41"/>
      <c r="D26" s="41"/>
      <c r="E26" s="41"/>
      <c r="F26" s="41"/>
      <c r="G26" s="1"/>
    </row>
    <row r="27" spans="1:7" x14ac:dyDescent="0.45">
      <c r="A27" s="1"/>
      <c r="B27" s="42" t="s">
        <v>150</v>
      </c>
      <c r="C27" s="42"/>
      <c r="D27" s="42"/>
      <c r="E27" s="9">
        <v>0</v>
      </c>
      <c r="F27" s="42" t="s">
        <v>3</v>
      </c>
      <c r="G27" s="1"/>
    </row>
    <row r="28" spans="1:7" x14ac:dyDescent="0.45">
      <c r="A28" s="1"/>
      <c r="B28" s="41" t="s">
        <v>26</v>
      </c>
      <c r="C28" s="41"/>
      <c r="D28" s="41"/>
      <c r="E28" s="10">
        <f>SUM(E16,E18,E22,E24,E25,E27)</f>
        <v>5047218.8543028887</v>
      </c>
      <c r="F28" s="11" t="s">
        <v>3</v>
      </c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2:6" x14ac:dyDescent="0.45">
      <c r="B49" s="1"/>
      <c r="C49" s="1"/>
      <c r="D49" s="1"/>
      <c r="E49" s="1"/>
      <c r="F49" s="1"/>
    </row>
    <row r="50" spans="2:6" x14ac:dyDescent="0.45">
      <c r="B50" s="1"/>
      <c r="C50" s="1"/>
      <c r="D50" s="1"/>
      <c r="E50" s="1"/>
      <c r="F50" s="1"/>
    </row>
  </sheetData>
  <sheetProtection algorithmName="SHA-512" hashValue="arGFttdzH7cRktkS34VzFb28M8KwbR+18bGuZuokHNTTHN1fZ7K10uwkPxuNglHrYeL5V10l6F3Lvrd8HgJYbQ==" saltValue="5vnoUvIeG4rP27DuuDTDig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99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75" t="s">
        <v>101</v>
      </c>
      <c r="C5" s="75"/>
      <c r="D5" s="75"/>
      <c r="E5" s="75"/>
      <c r="F5" s="7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1" t="s">
        <v>13</v>
      </c>
      <c r="C8" s="41"/>
      <c r="D8" s="41"/>
      <c r="E8" s="41"/>
      <c r="F8" s="41"/>
      <c r="G8" s="1"/>
    </row>
    <row r="9" spans="1:7" ht="15" customHeight="1" x14ac:dyDescent="0.45">
      <c r="A9" s="1"/>
      <c r="B9" s="47" t="s">
        <v>66</v>
      </c>
      <c r="C9" s="47"/>
      <c r="D9" s="47"/>
      <c r="E9" s="7">
        <f>'Fane 2.1. Økonomisk ramme 2022'!E16</f>
        <v>3521274.773535694</v>
      </c>
      <c r="F9" s="47" t="s">
        <v>3</v>
      </c>
      <c r="G9" s="1"/>
    </row>
    <row r="10" spans="1:7" ht="15" customHeight="1" x14ac:dyDescent="0.45">
      <c r="A10" s="1"/>
      <c r="B10" s="29" t="s">
        <v>62</v>
      </c>
      <c r="C10" s="47"/>
      <c r="D10" s="47"/>
      <c r="E10" s="7">
        <f>-('Fane 9. Bortfald'!C18+'Fane 9. Bortfald'!E18)</f>
        <v>0</v>
      </c>
      <c r="F10" s="47" t="s">
        <v>3</v>
      </c>
      <c r="G10" s="1"/>
    </row>
    <row r="11" spans="1:7" ht="15" customHeight="1" x14ac:dyDescent="0.45">
      <c r="A11" s="1"/>
      <c r="B11" s="39" t="s">
        <v>18</v>
      </c>
      <c r="C11" s="47"/>
      <c r="D11" s="47"/>
      <c r="E11" s="8">
        <f>SUM(E9:E10)*'Fane 10. Nøgletal'!C14</f>
        <v>11620.206752667789</v>
      </c>
      <c r="F11" s="47" t="s">
        <v>3</v>
      </c>
      <c r="G11" s="1"/>
    </row>
    <row r="12" spans="1:7" ht="15" customHeight="1" x14ac:dyDescent="0.45">
      <c r="A12" s="1"/>
      <c r="B12" s="39" t="s">
        <v>54</v>
      </c>
      <c r="C12" s="47"/>
      <c r="D12" s="47"/>
      <c r="E12" s="8">
        <f>-SUM(E9:E11)*'Fane 10. Nøgletal'!C19</f>
        <v>-60059.214664902152</v>
      </c>
      <c r="F12" s="47" t="s">
        <v>3</v>
      </c>
      <c r="G12" s="1"/>
    </row>
    <row r="13" spans="1:7" ht="15" customHeight="1" x14ac:dyDescent="0.45">
      <c r="A13" s="1"/>
      <c r="B13" s="40" t="s">
        <v>20</v>
      </c>
      <c r="C13" s="40"/>
      <c r="D13" s="40"/>
      <c r="E13" s="9">
        <f>SUM(E9:E12)</f>
        <v>3472835.7656234596</v>
      </c>
      <c r="F13" s="42" t="s">
        <v>3</v>
      </c>
      <c r="G13" s="1"/>
    </row>
    <row r="14" spans="1:7" x14ac:dyDescent="0.45">
      <c r="A14" s="1"/>
      <c r="B14" s="41" t="s">
        <v>12</v>
      </c>
      <c r="C14" s="41"/>
      <c r="D14" s="41"/>
      <c r="E14" s="41"/>
      <c r="F14" s="41"/>
      <c r="G14" s="1"/>
    </row>
    <row r="15" spans="1:7" ht="15" customHeight="1" x14ac:dyDescent="0.45">
      <c r="A15" s="1"/>
      <c r="B15" s="42" t="s">
        <v>12</v>
      </c>
      <c r="C15" s="42"/>
      <c r="D15" s="42"/>
      <c r="E15" s="9">
        <f>'Fane 4. Ikke-påvirkelige omk.'!C14*(1+'Fane 10. Nøgletal'!C14)</f>
        <v>1599196.1220046498</v>
      </c>
      <c r="F15" s="42" t="s">
        <v>3</v>
      </c>
      <c r="G15" s="1"/>
    </row>
    <row r="16" spans="1:7" ht="15" customHeight="1" x14ac:dyDescent="0.45">
      <c r="A16" s="1"/>
      <c r="B16" s="41" t="s">
        <v>42</v>
      </c>
      <c r="C16" s="41"/>
      <c r="D16" s="41"/>
      <c r="E16" s="41"/>
      <c r="F16" s="41"/>
      <c r="G16" s="1"/>
    </row>
    <row r="17" spans="1:7" ht="15" customHeight="1" x14ac:dyDescent="0.45">
      <c r="A17" s="1"/>
      <c r="B17" s="29" t="s">
        <v>39</v>
      </c>
      <c r="C17" s="47"/>
      <c r="D17" s="47"/>
      <c r="E17" s="8">
        <f>'Fane 7.2. Engangstillæg'!C20</f>
        <v>0</v>
      </c>
      <c r="F17" s="47" t="s">
        <v>3</v>
      </c>
      <c r="G17" s="1"/>
    </row>
    <row r="18" spans="1:7" ht="15" customHeight="1" x14ac:dyDescent="0.45">
      <c r="A18" s="1"/>
      <c r="B18" s="29" t="s">
        <v>40</v>
      </c>
      <c r="C18" s="47"/>
      <c r="D18" s="47"/>
      <c r="E18" s="8">
        <f>'Fane 7.2. Engangstillæg'!E20</f>
        <v>0</v>
      </c>
      <c r="F18" s="47" t="s">
        <v>3</v>
      </c>
      <c r="G18" s="1"/>
    </row>
    <row r="19" spans="1:7" ht="15" customHeight="1" x14ac:dyDescent="0.45">
      <c r="A19" s="1"/>
      <c r="B19" s="54" t="s">
        <v>43</v>
      </c>
      <c r="C19" s="40"/>
      <c r="D19" s="40"/>
      <c r="E19" s="9">
        <f>SUM(E17:E18)</f>
        <v>0</v>
      </c>
      <c r="F19" s="42" t="s">
        <v>3</v>
      </c>
      <c r="G19" s="1"/>
    </row>
    <row r="20" spans="1:7" x14ac:dyDescent="0.45">
      <c r="A20" s="1"/>
      <c r="B20" s="41" t="s">
        <v>85</v>
      </c>
      <c r="C20" s="41"/>
      <c r="D20" s="41"/>
      <c r="E20" s="41"/>
      <c r="F20" s="41"/>
      <c r="G20" s="1"/>
    </row>
    <row r="21" spans="1:7" x14ac:dyDescent="0.45">
      <c r="A21" s="1"/>
      <c r="B21" s="42" t="s">
        <v>151</v>
      </c>
      <c r="C21" s="42"/>
      <c r="D21" s="42"/>
      <c r="E21" s="9">
        <f>'Fane 5. Kontrol af ØR2020'!E35</f>
        <v>-47108.245543115307</v>
      </c>
      <c r="F21" s="42" t="s">
        <v>3</v>
      </c>
      <c r="G21" s="1"/>
    </row>
    <row r="22" spans="1:7" x14ac:dyDescent="0.45">
      <c r="A22" s="1"/>
      <c r="B22" s="41" t="s">
        <v>47</v>
      </c>
      <c r="C22" s="41"/>
      <c r="D22" s="41"/>
      <c r="E22" s="10">
        <f>SUM(E13,E15,E19,E21)</f>
        <v>5024923.6420849934</v>
      </c>
      <c r="F22" s="11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B47" s="1"/>
      <c r="C47" s="1"/>
      <c r="D47" s="1"/>
      <c r="E47" s="1"/>
      <c r="F47" s="1"/>
    </row>
    <row r="48" spans="1:7" x14ac:dyDescent="0.45">
      <c r="B48" s="1"/>
      <c r="C48" s="1"/>
      <c r="D48" s="1"/>
      <c r="E48" s="1"/>
      <c r="F48" s="1"/>
    </row>
  </sheetData>
  <sheetProtection algorithmName="SHA-512" hashValue="FZir69nmyPrzsDFdv7MVzOwcxoiWI8rgOfDs9iMtFjbk3cznhj7qTsgGnM9X++vJmERr+O2BzAmYS5pGXk0oPg==" saltValue="SSEQkA7UP82+3soGb9AsI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100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75" t="s">
        <v>21</v>
      </c>
      <c r="C5" s="75"/>
      <c r="D5" s="75"/>
      <c r="E5" s="75"/>
      <c r="F5" s="7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1" t="s">
        <v>13</v>
      </c>
      <c r="C7" s="41"/>
      <c r="D7" s="41"/>
      <c r="E7" s="41"/>
      <c r="F7" s="41"/>
      <c r="G7" s="1"/>
    </row>
    <row r="8" spans="1:7" ht="15" customHeight="1" x14ac:dyDescent="0.45">
      <c r="A8" s="1"/>
      <c r="B8" s="47" t="s">
        <v>67</v>
      </c>
      <c r="C8" s="47"/>
      <c r="D8" s="47"/>
      <c r="E8" s="7">
        <f>'Fane 2.2. Økonomisk ramme 2023'!E13</f>
        <v>3472835.7656234596</v>
      </c>
      <c r="F8" s="47" t="s">
        <v>3</v>
      </c>
      <c r="G8" s="1"/>
    </row>
    <row r="9" spans="1:7" ht="15" customHeight="1" x14ac:dyDescent="0.45">
      <c r="A9" s="1"/>
      <c r="B9" s="47" t="s">
        <v>62</v>
      </c>
      <c r="C9" s="47"/>
      <c r="D9" s="47"/>
      <c r="E9" s="7">
        <f>-('Fane 9. Bortfald'!C24+'Fane 9. Bortfald'!E24)</f>
        <v>0</v>
      </c>
      <c r="F9" s="47" t="s">
        <v>3</v>
      </c>
      <c r="G9" s="1"/>
    </row>
    <row r="10" spans="1:7" ht="15" customHeight="1" x14ac:dyDescent="0.45">
      <c r="A10" s="1"/>
      <c r="B10" s="39" t="s">
        <v>18</v>
      </c>
      <c r="C10" s="47"/>
      <c r="D10" s="47"/>
      <c r="E10" s="8">
        <f>SUM(E8:E9)*'Fane 10. Nøgletal'!C14</f>
        <v>11460.358026557416</v>
      </c>
      <c r="F10" s="47" t="s">
        <v>3</v>
      </c>
      <c r="G10" s="1"/>
    </row>
    <row r="11" spans="1:7" ht="15" customHeight="1" x14ac:dyDescent="0.45">
      <c r="A11" s="1"/>
      <c r="B11" s="39" t="s">
        <v>54</v>
      </c>
      <c r="C11" s="47"/>
      <c r="D11" s="47"/>
      <c r="E11" s="8">
        <f>-SUM(E8:E10)*'Fane 10. Nøgletal'!C19</f>
        <v>-59233.034102050296</v>
      </c>
      <c r="F11" s="47" t="s">
        <v>3</v>
      </c>
      <c r="G11" s="1"/>
    </row>
    <row r="12" spans="1:7" x14ac:dyDescent="0.45">
      <c r="A12" s="1"/>
      <c r="B12" s="40" t="s">
        <v>20</v>
      </c>
      <c r="C12" s="40"/>
      <c r="D12" s="40"/>
      <c r="E12" s="9">
        <f>SUM(E8:E11)</f>
        <v>3425063.0895479671</v>
      </c>
      <c r="F12" s="42" t="s">
        <v>3</v>
      </c>
      <c r="G12" s="1"/>
    </row>
    <row r="13" spans="1:7" x14ac:dyDescent="0.45">
      <c r="A13" s="1"/>
      <c r="B13" s="41" t="s">
        <v>12</v>
      </c>
      <c r="C13" s="41"/>
      <c r="D13" s="41"/>
      <c r="E13" s="41"/>
      <c r="F13" s="41"/>
      <c r="G13" s="1"/>
    </row>
    <row r="14" spans="1:7" ht="15" customHeight="1" x14ac:dyDescent="0.45">
      <c r="A14" s="1"/>
      <c r="B14" s="42" t="s">
        <v>12</v>
      </c>
      <c r="C14" s="42"/>
      <c r="D14" s="42"/>
      <c r="E14" s="9">
        <f>'Fane 4. Ikke-påvirkelige omk.'!C14*(1+'Fane 10. Nøgletal'!C14)^2</f>
        <v>1604473.4692072652</v>
      </c>
      <c r="F14" s="42" t="s">
        <v>3</v>
      </c>
      <c r="G14" s="1"/>
    </row>
    <row r="15" spans="1:7" ht="15" customHeight="1" x14ac:dyDescent="0.45">
      <c r="A15" s="1"/>
      <c r="B15" s="41" t="s">
        <v>42</v>
      </c>
      <c r="C15" s="41"/>
      <c r="D15" s="41"/>
      <c r="E15" s="41"/>
      <c r="F15" s="41"/>
      <c r="G15" s="1"/>
    </row>
    <row r="16" spans="1:7" ht="15" customHeight="1" x14ac:dyDescent="0.45">
      <c r="A16" s="1"/>
      <c r="B16" s="29" t="s">
        <v>39</v>
      </c>
      <c r="C16" s="47"/>
      <c r="D16" s="47"/>
      <c r="E16" s="8">
        <f>'Fane 7.2. Engangstillæg'!C27</f>
        <v>0</v>
      </c>
      <c r="F16" s="47" t="s">
        <v>3</v>
      </c>
      <c r="G16" s="1"/>
    </row>
    <row r="17" spans="1:7" ht="15" customHeight="1" x14ac:dyDescent="0.45">
      <c r="A17" s="1"/>
      <c r="B17" s="29" t="s">
        <v>40</v>
      </c>
      <c r="C17" s="47"/>
      <c r="D17" s="47"/>
      <c r="E17" s="8">
        <f>'Fane 7.2. Engangstillæg'!E27</f>
        <v>0</v>
      </c>
      <c r="F17" s="47" t="s">
        <v>3</v>
      </c>
      <c r="G17" s="1"/>
    </row>
    <row r="18" spans="1:7" ht="15" customHeight="1" x14ac:dyDescent="0.45">
      <c r="A18" s="1"/>
      <c r="B18" s="54" t="s">
        <v>43</v>
      </c>
      <c r="C18" s="40"/>
      <c r="D18" s="40"/>
      <c r="E18" s="9">
        <f>SUM(E16:E17)</f>
        <v>0</v>
      </c>
      <c r="F18" s="42" t="s">
        <v>3</v>
      </c>
      <c r="G18" s="1"/>
    </row>
    <row r="19" spans="1:7" ht="15" customHeight="1" x14ac:dyDescent="0.45">
      <c r="A19" s="1"/>
      <c r="B19" s="41" t="s">
        <v>85</v>
      </c>
      <c r="C19" s="41"/>
      <c r="D19" s="41"/>
      <c r="E19" s="41"/>
      <c r="F19" s="41"/>
      <c r="G19" s="1"/>
    </row>
    <row r="20" spans="1:7" ht="15" customHeight="1" x14ac:dyDescent="0.45">
      <c r="A20" s="1"/>
      <c r="B20" s="42" t="s">
        <v>86</v>
      </c>
      <c r="C20" s="42"/>
      <c r="D20" s="42"/>
      <c r="E20" s="9">
        <f>'Fane 5. Kontrol af ØR2020'!E35</f>
        <v>-47108.245543115307</v>
      </c>
      <c r="F20" s="42" t="s">
        <v>3</v>
      </c>
      <c r="G20" s="1"/>
    </row>
    <row r="21" spans="1:7" x14ac:dyDescent="0.45">
      <c r="A21" s="1"/>
      <c r="B21" s="41" t="s">
        <v>68</v>
      </c>
      <c r="C21" s="41"/>
      <c r="D21" s="41"/>
      <c r="E21" s="10">
        <f>SUM(E12,E14,E18,E20)</f>
        <v>4982428.3132121172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Ekkv+B4e5GWZsBZuHWlSgl9SgvRyvU2YzClMY9kItVk8fuQ18OTzNbVsTTlFaY9hEHrPqUkJ63osWC/gQXRciQ==" saltValue="4tO3hVFXrRNwbW9UFStAVQ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102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75" t="s">
        <v>21</v>
      </c>
      <c r="C5" s="75"/>
      <c r="D5" s="75"/>
      <c r="E5" s="75"/>
      <c r="F5" s="7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1" t="s">
        <v>13</v>
      </c>
      <c r="C7" s="41"/>
      <c r="D7" s="41"/>
      <c r="E7" s="41"/>
      <c r="F7" s="41"/>
      <c r="G7" s="1"/>
    </row>
    <row r="8" spans="1:7" ht="15" customHeight="1" x14ac:dyDescent="0.45">
      <c r="A8" s="1"/>
      <c r="B8" s="47" t="s">
        <v>103</v>
      </c>
      <c r="C8" s="47"/>
      <c r="D8" s="47"/>
      <c r="E8" s="7">
        <f>'Fane 2.3. Økonomisk ramme 2024'!E12</f>
        <v>3425063.0895479671</v>
      </c>
      <c r="F8" s="47" t="s">
        <v>3</v>
      </c>
      <c r="G8" s="1"/>
    </row>
    <row r="9" spans="1:7" ht="15" customHeight="1" x14ac:dyDescent="0.45">
      <c r="A9" s="1"/>
      <c r="B9" s="47" t="s">
        <v>62</v>
      </c>
      <c r="C9" s="47"/>
      <c r="D9" s="47"/>
      <c r="E9" s="7">
        <f>-('Fane 9. Bortfald'!C30+'Fane 9. Bortfald'!E30)</f>
        <v>0</v>
      </c>
      <c r="F9" s="47" t="s">
        <v>3</v>
      </c>
      <c r="G9" s="1"/>
    </row>
    <row r="10" spans="1:7" ht="15" customHeight="1" x14ac:dyDescent="0.45">
      <c r="A10" s="1"/>
      <c r="B10" s="39" t="s">
        <v>18</v>
      </c>
      <c r="C10" s="47"/>
      <c r="D10" s="47"/>
      <c r="E10" s="8">
        <f>SUM(E8:E9)*'Fane 10. Nøgletal'!C14</f>
        <v>11302.70819550829</v>
      </c>
      <c r="F10" s="47" t="s">
        <v>3</v>
      </c>
      <c r="G10" s="1"/>
    </row>
    <row r="11" spans="1:7" ht="15" customHeight="1" x14ac:dyDescent="0.45">
      <c r="A11" s="1"/>
      <c r="B11" s="39" t="s">
        <v>54</v>
      </c>
      <c r="C11" s="47"/>
      <c r="D11" s="47"/>
      <c r="E11" s="8">
        <f>-SUM(E8:E10)*'Fane 10. Nøgletal'!C19</f>
        <v>-58418.218561639085</v>
      </c>
      <c r="F11" s="47" t="s">
        <v>3</v>
      </c>
      <c r="G11" s="1"/>
    </row>
    <row r="12" spans="1:7" x14ac:dyDescent="0.45">
      <c r="A12" s="1"/>
      <c r="B12" s="40" t="s">
        <v>20</v>
      </c>
      <c r="C12" s="40"/>
      <c r="D12" s="40"/>
      <c r="E12" s="9">
        <f>SUM(E8:E11)</f>
        <v>3377947.5791818365</v>
      </c>
      <c r="F12" s="42" t="s">
        <v>3</v>
      </c>
      <c r="G12" s="1"/>
    </row>
    <row r="13" spans="1:7" x14ac:dyDescent="0.45">
      <c r="A13" s="1"/>
      <c r="B13" s="41" t="s">
        <v>12</v>
      </c>
      <c r="C13" s="41"/>
      <c r="D13" s="41"/>
      <c r="E13" s="41"/>
      <c r="F13" s="41"/>
      <c r="G13" s="1"/>
    </row>
    <row r="14" spans="1:7" ht="15" customHeight="1" x14ac:dyDescent="0.45">
      <c r="A14" s="1"/>
      <c r="B14" s="42" t="s">
        <v>12</v>
      </c>
      <c r="C14" s="42"/>
      <c r="D14" s="42"/>
      <c r="E14" s="9">
        <f>'Fane 4. Ikke-påvirkelige omk.'!C14*(1+'Fane 10. Nøgletal'!C14)^3</f>
        <v>1609768.2316556494</v>
      </c>
      <c r="F14" s="42" t="s">
        <v>3</v>
      </c>
      <c r="G14" s="1"/>
    </row>
    <row r="15" spans="1:7" ht="15" customHeight="1" x14ac:dyDescent="0.45">
      <c r="A15" s="1"/>
      <c r="B15" s="41" t="s">
        <v>42</v>
      </c>
      <c r="C15" s="41"/>
      <c r="D15" s="41"/>
      <c r="E15" s="41"/>
      <c r="F15" s="41"/>
      <c r="G15" s="1"/>
    </row>
    <row r="16" spans="1:7" ht="15" customHeight="1" x14ac:dyDescent="0.45">
      <c r="A16" s="1"/>
      <c r="B16" s="29" t="s">
        <v>39</v>
      </c>
      <c r="C16" s="47"/>
      <c r="D16" s="47"/>
      <c r="E16" s="8">
        <f>'Fane 7.2. Engangstillæg'!C34</f>
        <v>0</v>
      </c>
      <c r="F16" s="47" t="s">
        <v>3</v>
      </c>
      <c r="G16" s="1"/>
    </row>
    <row r="17" spans="1:7" ht="15" customHeight="1" x14ac:dyDescent="0.45">
      <c r="A17" s="1"/>
      <c r="B17" s="29" t="s">
        <v>40</v>
      </c>
      <c r="C17" s="47"/>
      <c r="D17" s="47"/>
      <c r="E17" s="8">
        <f>'Fane 7.2. Engangstillæg'!E34</f>
        <v>0</v>
      </c>
      <c r="F17" s="47" t="s">
        <v>3</v>
      </c>
      <c r="G17" s="1"/>
    </row>
    <row r="18" spans="1:7" ht="15" customHeight="1" x14ac:dyDescent="0.45">
      <c r="A18" s="1"/>
      <c r="B18" s="54" t="s">
        <v>43</v>
      </c>
      <c r="C18" s="40"/>
      <c r="D18" s="40"/>
      <c r="E18" s="9">
        <f>SUM(E16:E17)</f>
        <v>0</v>
      </c>
      <c r="F18" s="42" t="s">
        <v>3</v>
      </c>
      <c r="G18" s="1"/>
    </row>
    <row r="19" spans="1:7" ht="15" customHeight="1" x14ac:dyDescent="0.45">
      <c r="A19" s="1"/>
      <c r="B19" s="41" t="s">
        <v>85</v>
      </c>
      <c r="C19" s="41"/>
      <c r="D19" s="41"/>
      <c r="E19" s="41"/>
      <c r="F19" s="41"/>
      <c r="G19" s="1"/>
    </row>
    <row r="20" spans="1:7" ht="15" customHeight="1" x14ac:dyDescent="0.45">
      <c r="A20" s="1"/>
      <c r="B20" s="42" t="s">
        <v>86</v>
      </c>
      <c r="C20" s="42"/>
      <c r="D20" s="42"/>
      <c r="E20" s="9">
        <f>'Fane 5. Kontrol af ØR2020'!E35</f>
        <v>-47108.245543115307</v>
      </c>
      <c r="F20" s="42" t="s">
        <v>3</v>
      </c>
      <c r="G20" s="1"/>
    </row>
    <row r="21" spans="1:7" x14ac:dyDescent="0.45">
      <c r="A21" s="1"/>
      <c r="B21" s="41" t="s">
        <v>104</v>
      </c>
      <c r="C21" s="41"/>
      <c r="D21" s="41"/>
      <c r="E21" s="10">
        <f>SUM(E12,E14,E18,E20)</f>
        <v>4940607.5652943701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zumBIHsOqL+vOjX953xlbgRV8QUQ+QPcjlXCcmMkYAvKm2DElPGOdG7LZMeNaehMkf3AG+3UPT1QIcBRvGceaw==" saltValue="5YYccwz7osc8bE1A62KRUA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7" t="s">
        <v>105</v>
      </c>
      <c r="C3" s="87"/>
      <c r="D3" s="87"/>
      <c r="E3" s="87"/>
      <c r="F3" s="87"/>
      <c r="G3" s="1"/>
    </row>
    <row r="4" spans="1:7" ht="29.25" customHeight="1" x14ac:dyDescent="0.45">
      <c r="A4" s="1"/>
      <c r="B4" s="87"/>
      <c r="C4" s="87"/>
      <c r="D4" s="87"/>
      <c r="E4" s="87"/>
      <c r="F4" s="87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1" t="s">
        <v>126</v>
      </c>
      <c r="C8" s="41"/>
      <c r="D8" s="41"/>
      <c r="E8" s="41"/>
      <c r="F8" s="41"/>
      <c r="G8" s="1"/>
    </row>
    <row r="9" spans="1:7" x14ac:dyDescent="0.45">
      <c r="A9" s="1"/>
      <c r="B9" s="88" t="s">
        <v>23</v>
      </c>
      <c r="C9" s="88"/>
      <c r="D9" s="88"/>
      <c r="E9" s="7">
        <v>3500733.2063014465</v>
      </c>
      <c r="F9" s="47" t="s">
        <v>3</v>
      </c>
      <c r="G9" s="1"/>
    </row>
    <row r="10" spans="1:7" x14ac:dyDescent="0.45">
      <c r="A10" s="1"/>
      <c r="B10" s="77" t="s">
        <v>128</v>
      </c>
      <c r="C10" s="77"/>
      <c r="D10" s="77"/>
      <c r="E10" s="7">
        <v>12327.040220469693</v>
      </c>
      <c r="F10" s="47" t="s">
        <v>3</v>
      </c>
      <c r="G10" s="1"/>
    </row>
    <row r="11" spans="1:7" x14ac:dyDescent="0.45">
      <c r="A11" s="1"/>
      <c r="B11" s="77" t="s">
        <v>60</v>
      </c>
      <c r="C11" s="77"/>
      <c r="D11" s="77"/>
      <c r="E11" s="7">
        <v>6899.8839840000001</v>
      </c>
      <c r="F11" s="47" t="s">
        <v>3</v>
      </c>
      <c r="G11" s="1"/>
    </row>
    <row r="12" spans="1:7" x14ac:dyDescent="0.45">
      <c r="A12" s="1"/>
      <c r="B12" s="77" t="s">
        <v>65</v>
      </c>
      <c r="C12" s="77"/>
      <c r="D12" s="77"/>
      <c r="E12" s="7">
        <v>0</v>
      </c>
      <c r="F12" s="47" t="s">
        <v>3</v>
      </c>
      <c r="G12" s="1"/>
    </row>
    <row r="13" spans="1:7" x14ac:dyDescent="0.45">
      <c r="A13" s="1"/>
      <c r="B13" s="77" t="s">
        <v>61</v>
      </c>
      <c r="C13" s="77"/>
      <c r="D13" s="77"/>
      <c r="E13" s="8">
        <v>0</v>
      </c>
      <c r="F13" s="47" t="s">
        <v>3</v>
      </c>
      <c r="G13" s="1"/>
    </row>
    <row r="14" spans="1:7" x14ac:dyDescent="0.45">
      <c r="A14" s="1"/>
      <c r="B14" s="77" t="s">
        <v>18</v>
      </c>
      <c r="C14" s="77"/>
      <c r="D14" s="77"/>
      <c r="E14" s="8">
        <f>SUM(E9:E13)*'Fane 10. Nøgletal'!C13</f>
        <v>42943.513592172181</v>
      </c>
      <c r="F14" s="47" t="s">
        <v>3</v>
      </c>
      <c r="G14" s="1"/>
    </row>
    <row r="15" spans="1:7" x14ac:dyDescent="0.45">
      <c r="A15" s="1"/>
      <c r="B15" s="77" t="s">
        <v>54</v>
      </c>
      <c r="C15" s="77"/>
      <c r="D15" s="77"/>
      <c r="E15" s="8">
        <f>-SUM(E9:E14)*'Fane 10. Nøgletal'!C19</f>
        <v>-60569.361949667502</v>
      </c>
      <c r="F15" s="47" t="s">
        <v>3</v>
      </c>
      <c r="G15" s="1"/>
    </row>
    <row r="16" spans="1:7" x14ac:dyDescent="0.45">
      <c r="A16" s="1"/>
      <c r="B16" s="78" t="s">
        <v>20</v>
      </c>
      <c r="C16" s="78"/>
      <c r="D16" s="78"/>
      <c r="E16" s="9">
        <f>SUM(E9:E15)</f>
        <v>3502334.2821484208</v>
      </c>
      <c r="F16" s="42" t="s">
        <v>3</v>
      </c>
      <c r="G16" s="1"/>
    </row>
    <row r="17" spans="1:7" x14ac:dyDescent="0.45">
      <c r="A17" s="1"/>
      <c r="B17" s="79" t="s">
        <v>12</v>
      </c>
      <c r="C17" s="79"/>
      <c r="D17" s="79"/>
      <c r="E17" s="41"/>
      <c r="F17" s="41"/>
      <c r="G17" s="1"/>
    </row>
    <row r="18" spans="1:7" x14ac:dyDescent="0.45">
      <c r="A18" s="1"/>
      <c r="B18" s="80" t="s">
        <v>12</v>
      </c>
      <c r="C18" s="80"/>
      <c r="D18" s="80"/>
      <c r="E18" s="9">
        <v>1519504.28640864</v>
      </c>
      <c r="F18" s="42" t="s">
        <v>3</v>
      </c>
      <c r="G18" s="1"/>
    </row>
    <row r="19" spans="1:7" ht="15.4" customHeight="1" x14ac:dyDescent="0.45">
      <c r="A19" s="1"/>
      <c r="B19" s="41" t="s">
        <v>42</v>
      </c>
      <c r="C19" s="41"/>
      <c r="D19" s="41"/>
      <c r="E19" s="41"/>
      <c r="F19" s="41"/>
      <c r="G19" s="1"/>
    </row>
    <row r="20" spans="1:7" ht="15.75" customHeight="1" x14ac:dyDescent="0.45">
      <c r="A20" s="1"/>
      <c r="B20" s="81" t="s">
        <v>39</v>
      </c>
      <c r="C20" s="82"/>
      <c r="D20" s="83"/>
      <c r="E20" s="38">
        <v>0</v>
      </c>
      <c r="F20" s="32" t="s">
        <v>3</v>
      </c>
      <c r="G20" s="1"/>
    </row>
    <row r="21" spans="1:7" x14ac:dyDescent="0.45">
      <c r="A21" s="1"/>
      <c r="B21" s="81" t="s">
        <v>40</v>
      </c>
      <c r="C21" s="82"/>
      <c r="D21" s="83"/>
      <c r="E21" s="38">
        <v>0</v>
      </c>
      <c r="F21" s="32" t="s">
        <v>3</v>
      </c>
      <c r="G21" s="1"/>
    </row>
    <row r="22" spans="1:7" x14ac:dyDescent="0.45">
      <c r="A22" s="1"/>
      <c r="B22" s="84" t="s">
        <v>43</v>
      </c>
      <c r="C22" s="85"/>
      <c r="D22" s="86"/>
      <c r="E22" s="9">
        <v>0</v>
      </c>
      <c r="F22" s="9" t="s">
        <v>3</v>
      </c>
      <c r="G22" s="1"/>
    </row>
    <row r="23" spans="1:7" ht="15.75" customHeight="1" x14ac:dyDescent="0.45">
      <c r="A23" s="1"/>
      <c r="B23" s="41" t="s">
        <v>85</v>
      </c>
      <c r="C23" s="41"/>
      <c r="D23" s="41"/>
      <c r="E23" s="41"/>
      <c r="F23" s="41"/>
      <c r="G23" s="1"/>
    </row>
    <row r="24" spans="1:7" x14ac:dyDescent="0.45">
      <c r="A24" s="1"/>
      <c r="B24" s="54" t="s">
        <v>31</v>
      </c>
      <c r="C24" s="40"/>
      <c r="D24" s="40"/>
      <c r="E24" s="9">
        <v>-67992.051999325224</v>
      </c>
      <c r="F24" s="42" t="s">
        <v>3</v>
      </c>
      <c r="G24" s="1"/>
    </row>
    <row r="25" spans="1:7" x14ac:dyDescent="0.45">
      <c r="A25" s="1"/>
      <c r="B25" s="54" t="s">
        <v>86</v>
      </c>
      <c r="C25" s="40"/>
      <c r="D25" s="40"/>
      <c r="E25" s="9">
        <v>-164351.37671611551</v>
      </c>
      <c r="F25" s="42" t="s">
        <v>3</v>
      </c>
      <c r="G25" s="1"/>
    </row>
    <row r="26" spans="1:7" ht="15" customHeight="1" x14ac:dyDescent="0.45">
      <c r="A26" s="1"/>
      <c r="B26" s="41" t="s">
        <v>25</v>
      </c>
      <c r="C26" s="41"/>
      <c r="D26" s="41"/>
      <c r="E26" s="10">
        <f>E16+E18+E22+E24+E25</f>
        <v>4789495.1398416208</v>
      </c>
      <c r="F26" s="11" t="s">
        <v>3</v>
      </c>
      <c r="G26" s="1"/>
    </row>
    <row r="27" spans="1:7" ht="27" customHeight="1" x14ac:dyDescent="0.45">
      <c r="A27" s="1"/>
      <c r="B27" s="76" t="s">
        <v>120</v>
      </c>
      <c r="C27" s="76"/>
      <c r="D27" s="76"/>
      <c r="E27" s="76"/>
      <c r="F27" s="76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B54" s="1"/>
      <c r="C54" s="1"/>
      <c r="D54" s="1"/>
      <c r="E54" s="1"/>
      <c r="F54" s="1"/>
    </row>
  </sheetData>
  <sheetProtection algorithmName="SHA-512" hashValue="U5Dv08annxCLaZtZpZ9mZz1xvhLSCmFHlRkDdiu/Rk6r4azlxRUzJFkFPg/bKM+U4henBm0YdSkNfvwhuwMZMw==" saltValue="cDEPxKSuII2OA+1actIleg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3:F4"/>
    <mergeCell ref="B9:D9"/>
    <mergeCell ref="B11:D11"/>
    <mergeCell ref="B13:D13"/>
    <mergeCell ref="B14:D14"/>
    <mergeCell ref="B10:D10"/>
    <mergeCell ref="B12:D12"/>
    <mergeCell ref="B27:F27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4" t="s">
        <v>53</v>
      </c>
      <c r="C3" s="74"/>
      <c r="D3" s="74"/>
      <c r="E3" s="1"/>
      <c r="F3" s="1"/>
    </row>
    <row r="4" spans="1:6" ht="15" customHeight="1" x14ac:dyDescent="0.45">
      <c r="A4" s="1"/>
      <c r="B4" s="74"/>
      <c r="C4" s="74"/>
      <c r="D4" s="74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9" t="s">
        <v>107</v>
      </c>
      <c r="C8" s="90"/>
      <c r="D8" s="91"/>
      <c r="E8" s="1"/>
      <c r="F8" s="1"/>
    </row>
    <row r="9" spans="1:6" ht="15" customHeight="1" x14ac:dyDescent="0.45">
      <c r="A9" s="1"/>
      <c r="B9" s="17" t="s">
        <v>29</v>
      </c>
      <c r="C9" s="42" t="s">
        <v>106</v>
      </c>
      <c r="D9" s="42"/>
      <c r="E9" s="1"/>
      <c r="F9" s="1"/>
    </row>
    <row r="10" spans="1:6" x14ac:dyDescent="0.45">
      <c r="A10" s="1"/>
      <c r="B10" s="28" t="s">
        <v>132</v>
      </c>
      <c r="C10" s="8">
        <v>1572052</v>
      </c>
      <c r="D10" s="12" t="s">
        <v>3</v>
      </c>
      <c r="E10" s="1"/>
      <c r="F10" s="1"/>
    </row>
    <row r="11" spans="1:6" x14ac:dyDescent="0.45">
      <c r="A11" s="1"/>
      <c r="B11" s="28" t="s">
        <v>133</v>
      </c>
      <c r="C11" s="8">
        <v>4923</v>
      </c>
      <c r="D11" s="12" t="s">
        <v>3</v>
      </c>
      <c r="E11" s="1"/>
      <c r="F11" s="1"/>
    </row>
    <row r="12" spans="1:6" x14ac:dyDescent="0.45">
      <c r="A12" s="1"/>
      <c r="B12" s="28" t="s">
        <v>134</v>
      </c>
      <c r="C12" s="8">
        <v>6493</v>
      </c>
      <c r="D12" s="12" t="s">
        <v>3</v>
      </c>
      <c r="E12" s="1"/>
      <c r="F12" s="1"/>
    </row>
    <row r="13" spans="1:6" x14ac:dyDescent="0.45">
      <c r="A13" s="1"/>
      <c r="B13" s="57" t="s">
        <v>108</v>
      </c>
      <c r="C13" s="10">
        <f>SUM(C10:C12)</f>
        <v>1583468</v>
      </c>
      <c r="D13" s="11" t="s">
        <v>3</v>
      </c>
      <c r="E13" s="1"/>
      <c r="F13" s="1"/>
    </row>
    <row r="14" spans="1:6" x14ac:dyDescent="0.45">
      <c r="A14" s="1"/>
      <c r="B14" s="57" t="s">
        <v>109</v>
      </c>
      <c r="C14" s="10">
        <f>C13*(1+'Fane 10. Nøgletal'!C14)^2</f>
        <v>1593936.1327665201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zJ1iJj3N6n615tXh7La8M3UpbIdJzZksut1bOcBnVcmgSOFbWaDrByjO+23WccYBMFo8+K4dgsOLH2HR9/xkAg==" saltValue="z7r69HBuuT35JfOMNXKs6Q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7" t="s">
        <v>153</v>
      </c>
      <c r="C3" s="87"/>
      <c r="D3" s="87"/>
      <c r="E3" s="87"/>
      <c r="F3" s="87"/>
      <c r="G3" s="1"/>
    </row>
    <row r="4" spans="1:7" ht="15" customHeight="1" x14ac:dyDescent="0.45">
      <c r="A4" s="1"/>
      <c r="B4" s="87"/>
      <c r="C4" s="87"/>
      <c r="D4" s="87"/>
      <c r="E4" s="87"/>
      <c r="F4" s="87"/>
      <c r="G4" s="1"/>
    </row>
    <row r="5" spans="1:7" ht="15" customHeight="1" x14ac:dyDescent="0.45">
      <c r="A5" s="1"/>
      <c r="B5" s="46"/>
      <c r="C5" s="46"/>
      <c r="D5" s="46"/>
      <c r="E5" s="46"/>
      <c r="F5" s="46"/>
      <c r="G5" s="1"/>
    </row>
    <row r="6" spans="1:7" ht="15" customHeight="1" x14ac:dyDescent="0.45">
      <c r="A6" s="1"/>
      <c r="B6" s="46"/>
      <c r="C6" s="46"/>
      <c r="D6" s="46"/>
      <c r="E6" s="46"/>
      <c r="F6" s="46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9" t="s">
        <v>136</v>
      </c>
      <c r="C8" s="90"/>
      <c r="D8" s="90"/>
      <c r="E8" s="90"/>
      <c r="F8" s="91"/>
      <c r="G8" s="1"/>
    </row>
    <row r="9" spans="1:7" x14ac:dyDescent="0.45">
      <c r="A9" s="1"/>
      <c r="B9" s="92" t="s">
        <v>137</v>
      </c>
      <c r="C9" s="93"/>
      <c r="D9" s="94"/>
      <c r="E9" s="8">
        <v>46998.675938805565</v>
      </c>
      <c r="F9" s="12" t="s">
        <v>3</v>
      </c>
      <c r="G9" s="1"/>
    </row>
    <row r="10" spans="1:7" x14ac:dyDescent="0.45">
      <c r="A10" s="1"/>
      <c r="B10" s="92" t="s">
        <v>138</v>
      </c>
      <c r="C10" s="93"/>
      <c r="D10" s="94"/>
      <c r="E10" s="8">
        <v>-75741.429371036589</v>
      </c>
      <c r="F10" s="12" t="s">
        <v>3</v>
      </c>
      <c r="G10" s="1"/>
    </row>
    <row r="11" spans="1:7" x14ac:dyDescent="0.45">
      <c r="A11" s="1"/>
      <c r="B11" s="92" t="s">
        <v>139</v>
      </c>
      <c r="C11" s="93"/>
      <c r="D11" s="94"/>
      <c r="E11" s="8">
        <v>-299959.79039028659</v>
      </c>
      <c r="F11" s="12" t="s">
        <v>3</v>
      </c>
      <c r="G11" s="1"/>
    </row>
    <row r="12" spans="1:7" x14ac:dyDescent="0.45">
      <c r="A12" s="1"/>
      <c r="B12" s="57"/>
      <c r="C12" s="22"/>
      <c r="D12" s="22"/>
      <c r="E12" s="22"/>
      <c r="F12" s="58"/>
      <c r="G12" s="1"/>
    </row>
    <row r="13" spans="1:7" ht="51.75" customHeight="1" x14ac:dyDescent="0.45">
      <c r="A13" s="1"/>
      <c r="B13" s="95" t="s">
        <v>140</v>
      </c>
      <c r="C13" s="96"/>
      <c r="D13" s="96"/>
      <c r="E13" s="96"/>
      <c r="F13" s="97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9" t="s">
        <v>141</v>
      </c>
      <c r="C15" s="90"/>
      <c r="D15" s="90"/>
      <c r="E15" s="90"/>
      <c r="F15" s="91"/>
      <c r="G15" s="1"/>
    </row>
    <row r="16" spans="1:7" x14ac:dyDescent="0.45">
      <c r="A16" s="1"/>
      <c r="B16" s="92" t="s">
        <v>142</v>
      </c>
      <c r="C16" s="93"/>
      <c r="D16" s="94"/>
      <c r="E16" s="8">
        <v>-164351.37671611551</v>
      </c>
      <c r="F16" s="12" t="s">
        <v>3</v>
      </c>
      <c r="G16" s="1"/>
    </row>
    <row r="17" spans="1:7" x14ac:dyDescent="0.45">
      <c r="A17" s="1"/>
      <c r="B17" s="92" t="s">
        <v>143</v>
      </c>
      <c r="C17" s="93"/>
      <c r="D17" s="94"/>
      <c r="E17" s="8">
        <v>-164351.37671611551</v>
      </c>
      <c r="F17" s="12" t="s">
        <v>3</v>
      </c>
      <c r="G17" s="1"/>
    </row>
    <row r="18" spans="1:7" x14ac:dyDescent="0.45">
      <c r="A18" s="1"/>
      <c r="B18" s="57"/>
      <c r="C18" s="22"/>
      <c r="D18" s="22"/>
      <c r="E18" s="22"/>
      <c r="F18" s="58"/>
      <c r="G18" s="1"/>
    </row>
    <row r="19" spans="1:7" ht="29.25" customHeight="1" x14ac:dyDescent="0.45">
      <c r="A19" s="1"/>
      <c r="B19" s="95" t="s">
        <v>144</v>
      </c>
      <c r="C19" s="96"/>
      <c r="D19" s="96"/>
      <c r="E19" s="96"/>
      <c r="F19" s="97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48" t="s">
        <v>122</v>
      </c>
      <c r="C21" s="49"/>
      <c r="D21" s="49"/>
      <c r="E21" s="49"/>
      <c r="F21" s="50"/>
      <c r="G21" s="1"/>
    </row>
    <row r="22" spans="1:7" x14ac:dyDescent="0.45">
      <c r="A22" s="1"/>
      <c r="B22" s="51" t="s">
        <v>123</v>
      </c>
      <c r="C22" s="52"/>
      <c r="D22" s="53"/>
      <c r="E22" s="8">
        <v>4775874.0178275388</v>
      </c>
      <c r="F22" s="12" t="s">
        <v>3</v>
      </c>
      <c r="G22" s="1"/>
    </row>
    <row r="23" spans="1:7" x14ac:dyDescent="0.45">
      <c r="A23" s="1"/>
      <c r="B23" s="51" t="s">
        <v>124</v>
      </c>
      <c r="C23" s="52"/>
      <c r="D23" s="53"/>
      <c r="E23" s="8">
        <v>4964307</v>
      </c>
      <c r="F23" s="12" t="s">
        <v>3</v>
      </c>
      <c r="G23" s="1"/>
    </row>
    <row r="24" spans="1:7" x14ac:dyDescent="0.45">
      <c r="A24" s="1"/>
      <c r="B24" s="51" t="s">
        <v>30</v>
      </c>
      <c r="C24" s="52"/>
      <c r="D24" s="53"/>
      <c r="E24" s="8">
        <v>0</v>
      </c>
      <c r="F24" s="12" t="s">
        <v>3</v>
      </c>
      <c r="G24" s="1"/>
    </row>
    <row r="25" spans="1:7" x14ac:dyDescent="0.45">
      <c r="A25" s="1"/>
      <c r="B25" s="43" t="s">
        <v>125</v>
      </c>
      <c r="C25" s="44"/>
      <c r="D25" s="45"/>
      <c r="E25" s="34">
        <f>E22-(E23-E24)</f>
        <v>-188432.98217246123</v>
      </c>
      <c r="F25" s="15" t="s">
        <v>3</v>
      </c>
      <c r="G25" s="1"/>
    </row>
    <row r="26" spans="1:7" x14ac:dyDescent="0.45">
      <c r="A26" s="1"/>
      <c r="B26" s="57"/>
      <c r="C26" s="22"/>
      <c r="D26" s="22"/>
      <c r="E26" s="22"/>
      <c r="F26" s="58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89" t="s">
        <v>145</v>
      </c>
      <c r="C28" s="90"/>
      <c r="D28" s="90"/>
      <c r="E28" s="90"/>
      <c r="F28" s="91"/>
      <c r="G28" s="1"/>
    </row>
    <row r="29" spans="1:7" x14ac:dyDescent="0.45">
      <c r="A29" s="1"/>
      <c r="B29" s="84" t="s">
        <v>146</v>
      </c>
      <c r="C29" s="85"/>
      <c r="D29" s="86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0</v>
      </c>
      <c r="F29" s="15" t="s">
        <v>3</v>
      </c>
      <c r="G29" s="1"/>
    </row>
    <row r="30" spans="1:7" x14ac:dyDescent="0.45">
      <c r="A30" s="1"/>
      <c r="B30" s="89"/>
      <c r="C30" s="90"/>
      <c r="D30" s="90"/>
      <c r="E30" s="90"/>
      <c r="F30" s="9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9" t="s">
        <v>147</v>
      </c>
      <c r="C32" s="90"/>
      <c r="D32" s="90"/>
      <c r="E32" s="90"/>
      <c r="F32" s="91"/>
      <c r="G32" s="1"/>
    </row>
    <row r="33" spans="1:7" x14ac:dyDescent="0.45">
      <c r="A33" s="1"/>
      <c r="B33" s="101" t="s">
        <v>85</v>
      </c>
      <c r="C33" s="102"/>
      <c r="D33" s="103"/>
      <c r="E33" s="8">
        <f>IF(AND(SUM(E9:E11)&gt;0,E25&lt;0,ABS(SUM(E9:E11))&lt;ABS(E25)),(SUM(E9:E11)-ABS(E25)),IF(AND(SUM(E9:E11)&lt;0,E25&lt;0),E25,0))</f>
        <v>-188432.98217246123</v>
      </c>
      <c r="F33" s="12" t="s">
        <v>3</v>
      </c>
      <c r="G33" s="1"/>
    </row>
    <row r="34" spans="1:7" x14ac:dyDescent="0.45">
      <c r="A34" s="1"/>
      <c r="B34" s="101" t="s">
        <v>55</v>
      </c>
      <c r="C34" s="102"/>
      <c r="D34" s="103"/>
      <c r="E34" s="8">
        <v>4</v>
      </c>
      <c r="F34" s="12" t="s">
        <v>19</v>
      </c>
      <c r="G34" s="1"/>
    </row>
    <row r="35" spans="1:7" x14ac:dyDescent="0.45">
      <c r="A35" s="1"/>
      <c r="B35" s="104" t="s">
        <v>148</v>
      </c>
      <c r="C35" s="104"/>
      <c r="D35" s="104"/>
      <c r="E35" s="9">
        <f>E33/E34</f>
        <v>-47108.245543115307</v>
      </c>
      <c r="F35" s="15" t="s">
        <v>3</v>
      </c>
      <c r="G35" s="1"/>
    </row>
    <row r="36" spans="1:7" x14ac:dyDescent="0.45">
      <c r="A36" s="1"/>
      <c r="B36" s="98"/>
      <c r="C36" s="99"/>
      <c r="D36" s="99"/>
      <c r="E36" s="99"/>
      <c r="F36" s="100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UX9iL6elHxh76OmYsJoTqA2N1dtMhgF6QPuWMpjbUVyhgLJgu5uN59ii07MnTvjAc/TaAsAU0KotIMsbtY9poA==" saltValue="vD22dCbFnx66n2ckasoenA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6:F36"/>
    <mergeCell ref="B34:D34"/>
    <mergeCell ref="B33:D33"/>
    <mergeCell ref="B32:F32"/>
    <mergeCell ref="B35:D35"/>
    <mergeCell ref="B3:F4"/>
    <mergeCell ref="B30:F30"/>
    <mergeCell ref="B28:F28"/>
    <mergeCell ref="B16:D16"/>
    <mergeCell ref="B17:D17"/>
    <mergeCell ref="B9:D9"/>
    <mergeCell ref="B19:F19"/>
    <mergeCell ref="B29:D29"/>
    <mergeCell ref="B8:F8"/>
    <mergeCell ref="B10:D10"/>
    <mergeCell ref="B11:D11"/>
    <mergeCell ref="B13:F13"/>
    <mergeCell ref="B15:F15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4" t="s">
        <v>88</v>
      </c>
      <c r="C3" s="74"/>
      <c r="D3" s="74"/>
      <c r="E3" s="74"/>
      <c r="F3" s="74"/>
      <c r="G3" s="74"/>
      <c r="H3" s="74"/>
      <c r="I3" s="1"/>
    </row>
    <row r="4" spans="1:9" ht="15" customHeight="1" x14ac:dyDescent="0.4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9" t="s">
        <v>79</v>
      </c>
      <c r="C8" s="90"/>
      <c r="D8" s="90"/>
      <c r="E8" s="90"/>
      <c r="F8" s="90"/>
      <c r="G8" s="90"/>
      <c r="H8" s="91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2" t="s">
        <v>2</v>
      </c>
      <c r="F9" s="42" t="s">
        <v>11</v>
      </c>
      <c r="G9" s="42" t="s">
        <v>27</v>
      </c>
      <c r="H9" s="56"/>
      <c r="I9" s="1"/>
    </row>
    <row r="10" spans="1:9" x14ac:dyDescent="0.45">
      <c r="A10" s="1"/>
      <c r="B10" s="35" t="s">
        <v>152</v>
      </c>
      <c r="C10" s="36">
        <v>0</v>
      </c>
      <c r="D10" s="8">
        <v>0</v>
      </c>
      <c r="E10" s="8">
        <f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45">
      <c r="A11" s="1"/>
      <c r="B11" s="89" t="s">
        <v>80</v>
      </c>
      <c r="C11" s="90"/>
      <c r="D11" s="91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MOaFbOg5UKG4z0hCKf3HnK2054JE4sOtuwV41GQWmMwX+iMXSmOyAD+r5lWGSbt+Cg3vObXTy/+GYlYB3QKZmA==" saltValue="48693kvKdLVSc67WvufhhA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2021-08-20T08:10:00Z</dcterms:modified>
</cp:coreProperties>
</file>